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rekalovskaykv\Desktop\Стрекаловская\!!!2023\п 4 Здание ГЭС Замена дверного заполнения, внутренняя отделка помещений СМГТС СК МП-2\"/>
    </mc:Choice>
  </mc:AlternateContent>
  <bookViews>
    <workbookView xWindow="0" yWindow="0" windowWidth="24945" windowHeight="10920"/>
  </bookViews>
  <sheets>
    <sheet name="ДВ" sheetId="2" r:id="rId1"/>
  </sheets>
  <definedNames>
    <definedName name="_xlnm._FilterDatabase" localSheetId="0" hidden="1">ДВ!$B$15:$M$53</definedName>
    <definedName name="_xlnm.Print_Titles" localSheetId="0">ДВ!$15:$15</definedName>
    <definedName name="_xlnm.Print_Area" localSheetId="0">ДВ!$A$1:$M$102</definedName>
  </definedNames>
  <calcPr calcId="162913"/>
</workbook>
</file>

<file path=xl/calcChain.xml><?xml version="1.0" encoding="utf-8"?>
<calcChain xmlns="http://schemas.openxmlformats.org/spreadsheetml/2006/main">
  <c r="E82" i="2" l="1"/>
  <c r="E46" i="2"/>
  <c r="E88" i="2" l="1"/>
  <c r="E63" i="2"/>
  <c r="E67" i="2"/>
  <c r="H61" i="2"/>
  <c r="E61" i="2"/>
  <c r="E56" i="2" l="1"/>
  <c r="E55" i="2"/>
  <c r="L85" i="2"/>
  <c r="L84" i="2"/>
  <c r="E80" i="2"/>
  <c r="E78" i="2"/>
  <c r="E42" i="2"/>
  <c r="E71" i="2"/>
  <c r="E72" i="2"/>
  <c r="L78" i="2" l="1"/>
  <c r="L77" i="2"/>
  <c r="E73" i="2"/>
  <c r="E76" i="2"/>
  <c r="L67" i="2"/>
  <c r="L64" i="2"/>
  <c r="L63" i="2"/>
  <c r="E57" i="2"/>
  <c r="E58" i="2" s="1"/>
  <c r="L59" i="2" s="1"/>
  <c r="H56" i="2"/>
  <c r="L60" i="2"/>
  <c r="L50" i="2"/>
  <c r="L49" i="2"/>
  <c r="L57" i="2" l="1"/>
  <c r="L68" i="2"/>
  <c r="L76" i="2"/>
  <c r="L73" i="2"/>
  <c r="E74" i="2"/>
  <c r="H72" i="2"/>
  <c r="H71" i="2"/>
  <c r="E60" i="2"/>
  <c r="H55" i="2"/>
  <c r="L58" i="2"/>
  <c r="E44" i="2"/>
  <c r="L40" i="2"/>
  <c r="L75" i="2" l="1"/>
  <c r="L74" i="2"/>
  <c r="E38" i="2"/>
  <c r="L42" i="2" l="1"/>
  <c r="E33" i="2"/>
  <c r="E32" i="2"/>
  <c r="E29" i="2"/>
  <c r="L30" i="2" s="1"/>
  <c r="E17" i="2"/>
  <c r="E25" i="2"/>
  <c r="E23" i="2"/>
  <c r="H23" i="2"/>
  <c r="L29" i="2" l="1"/>
  <c r="L41" i="2" l="1"/>
  <c r="E34" i="2"/>
  <c r="E35" i="2" s="1"/>
  <c r="L35" i="2" s="1"/>
  <c r="L37" i="2"/>
  <c r="L26" i="2"/>
  <c r="L25" i="2"/>
  <c r="H33" i="2" l="1"/>
  <c r="L36" i="2"/>
  <c r="H32" i="2"/>
  <c r="L34" i="2"/>
  <c r="E37" i="2"/>
  <c r="E22" i="2"/>
  <c r="H18" i="2"/>
  <c r="L22" i="2"/>
  <c r="H17" i="2"/>
  <c r="E53" i="2" l="1"/>
  <c r="E19" i="2"/>
  <c r="L19" i="2" s="1"/>
  <c r="E20" i="2" l="1"/>
  <c r="L20" i="2" l="1"/>
  <c r="L21" i="2"/>
</calcChain>
</file>

<file path=xl/sharedStrings.xml><?xml version="1.0" encoding="utf-8"?>
<sst xmlns="http://schemas.openxmlformats.org/spreadsheetml/2006/main" count="346" uniqueCount="95">
  <si>
    <t>Наименование</t>
  </si>
  <si>
    <t>Ед. изм.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</si>
  <si>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</si>
  <si>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</si>
  <si>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</si>
  <si>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</si>
  <si>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</si>
  <si>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</si>
  <si>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(Заменённые и Добавленные)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</si>
  <si>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</si>
  <si>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</si>
  <si>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</si>
  <si>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филиал ООО"ЕвроСибЭнерго-Гидрогенерация" "Братская ГЭС"</t>
  </si>
  <si>
    <t xml:space="preserve">         Подтверждение необходимости проведения данных  видов работ:</t>
  </si>
  <si>
    <t>Ведомость объемов работ №1 (дефектная ведомость №1)</t>
  </si>
  <si>
    <t>мусор</t>
  </si>
  <si>
    <t>В.Ю. Писарев</t>
  </si>
  <si>
    <t>Зам.главного инженера - начальник ПТО</t>
  </si>
  <si>
    <t>т</t>
  </si>
  <si>
    <t>Подрядчик</t>
  </si>
  <si>
    <t>Инженер по ТН СМГТС</t>
  </si>
  <si>
    <t>А.А. Логинов</t>
  </si>
  <si>
    <t>м2</t>
  </si>
  <si>
    <t>шт.</t>
  </si>
  <si>
    <t xml:space="preserve">УТВЕРЖДАЮ:  </t>
  </si>
  <si>
    <t xml:space="preserve">Главный инженер    </t>
  </si>
  <si>
    <t xml:space="preserve">______________А.В. Боярский   </t>
  </si>
  <si>
    <t xml:space="preserve">филиала ООО"ЕвроСибЭнерго-Гидрогенерация" "Братская ГЭС"    </t>
  </si>
  <si>
    <t>кг</t>
  </si>
  <si>
    <t>шт</t>
  </si>
  <si>
    <t>Разборка покрытий полов из линолеума</t>
  </si>
  <si>
    <t xml:space="preserve">Устройство плинтусов поливинилхлоридных </t>
  </si>
  <si>
    <t xml:space="preserve">Разборка плинтусов поливинилхлоридных </t>
  </si>
  <si>
    <t>м</t>
  </si>
  <si>
    <t xml:space="preserve">Плинтус </t>
  </si>
  <si>
    <t>Линолеум</t>
  </si>
  <si>
    <t>Устройство покрытий из виниловой плитки ПВХ</t>
  </si>
  <si>
    <t>повторное использование</t>
  </si>
  <si>
    <t>Самовыравнивающаяся смесь для пола</t>
  </si>
  <si>
    <t>Клей для плитки ПВХ</t>
  </si>
  <si>
    <t>Виниловая плитка ПВХ (Класс износостойкости 33/42)</t>
  </si>
  <si>
    <t>Устройство выравнивающей стяжки толщиной 10 мм</t>
  </si>
  <si>
    <t>Д.В. Нахабцев</t>
  </si>
  <si>
    <t xml:space="preserve">Начальник ОППР                             </t>
  </si>
  <si>
    <t>Ю.А. Золотухин</t>
  </si>
  <si>
    <t>Начальник СМГТС</t>
  </si>
  <si>
    <t xml:space="preserve">"___"_____________2023г.    </t>
  </si>
  <si>
    <t>Строительный мусор</t>
  </si>
  <si>
    <t>Смена обоев</t>
  </si>
  <si>
    <t>Чугунный радиатор отопления</t>
  </si>
  <si>
    <t>Установка экранов радиаторов отопления</t>
  </si>
  <si>
    <t>Демонтаж короба из гипсокартона по металлическому каркасу и экрана ПВХ радиаторов отопления</t>
  </si>
  <si>
    <t>Металлический экран на чугунный радиатор (цвет белый)</t>
  </si>
  <si>
    <t>Клей для флизелиновых обоев</t>
  </si>
  <si>
    <t>Краски масляные готовые к применению (цвет белый)</t>
  </si>
  <si>
    <t>Краска водоэмульсионная (под цвет обоев)</t>
  </si>
  <si>
    <t xml:space="preserve">Флизелиновые обои с флизелиновым покрытием </t>
  </si>
  <si>
    <t xml:space="preserve">Окраска масляными составами ранее окрашенных поверхностей труб: стальных за 2 раза (трубы отопления) </t>
  </si>
  <si>
    <t>Ведущий инженер службы зданий и сооружений ООО "ЕСЭ-ГГ"</t>
  </si>
  <si>
    <t>О.А. Борус</t>
  </si>
  <si>
    <t xml:space="preserve">Окрашивание водоэмульсионными составами поверхностей стен, ранее окрашенных с расчисткой старой краски до 10% </t>
  </si>
  <si>
    <t>Транспортировка мусора строительного вручную на расстояние до 32 м (12 м - по вертикали, 20м - по горизонтали)</t>
  </si>
  <si>
    <t xml:space="preserve">Здание ГЭС. Замена дверного заполнения, внутренняя отделка помещений СМГТС СК МП-2
</t>
  </si>
  <si>
    <t>Раздел 1. Ремонт кабинета группы фильтрации (4 этаж)</t>
  </si>
  <si>
    <t xml:space="preserve">Демонтаж чугунных радиаторов отопления (1 шт. - 7 секций, 1 шт. - 14 секций) </t>
  </si>
  <si>
    <t xml:space="preserve">Монтаж чугунных радиаторов отопления  (1 шт. - 7 секций, 1 шт. - 14 секций) </t>
  </si>
  <si>
    <t>Раздел 2. Ремонт коридора (4 этаж)</t>
  </si>
  <si>
    <t xml:space="preserve">  Раздел 3. Замена дверей (4 этаж)</t>
  </si>
  <si>
    <t xml:space="preserve">  Раздел 4. Уборка мусора (4 этаж)</t>
  </si>
  <si>
    <t>Окрашивание на 2 раза водно-дисперсионными красками обоев на флизелиновой основе на поверхности стен, ранее окрашенных</t>
  </si>
  <si>
    <t>Краски водно-дисперсионные акрилатные</t>
  </si>
  <si>
    <t xml:space="preserve">Демонтаж деревянных заполнений проемов: дверных </t>
  </si>
  <si>
    <t>Установка арки "Портал" в внутренних дверных проемах: в каменных стенах, площадь проема до 3 м2 (2050*850*120 мм)</t>
  </si>
  <si>
    <t>Дверь с коробкой деревянная</t>
  </si>
  <si>
    <t>Транспортировка мусора строительного вручную на расстояние до 35 м (15 м - по вертикали, 20м - по горизонтали)</t>
  </si>
  <si>
    <t>Установка блоков в внутренних дверных проемах: в каменных стенах, площадь проема до 3 м2</t>
  </si>
  <si>
    <t>Дверь деревянная из массива, размером 2000*800 мм, цвет "дуб золотой"</t>
  </si>
  <si>
    <t>Дверь деревянная из массива, размером 2000*700 мм, цвет "дуб золотой"</t>
  </si>
  <si>
    <t>Деревянная арка "Портал" (2050*850*120 мм), цвет "дуб золотой"</t>
  </si>
  <si>
    <t>Наличник деревянный 70 мм, цвет "дуб золотой"</t>
  </si>
  <si>
    <t>Добор телескопический, цвет "дуб золотой"</t>
  </si>
  <si>
    <t>Дверь деревянная из массива, размером 1900*800 мм, цвет "дуб золотой"</t>
  </si>
  <si>
    <t xml:space="preserve">Демонтаж дверного доводчика </t>
  </si>
  <si>
    <t xml:space="preserve">Монтаж дверного доводчика </t>
  </si>
  <si>
    <t>Дверной доводчик</t>
  </si>
  <si>
    <t>Раздел 5. Ремонт кабинета начальника СМГТС (3 этаж)</t>
  </si>
  <si>
    <t>Раздел 6. Ремонт коридора (3 этаж)</t>
  </si>
  <si>
    <t xml:space="preserve">  Раздел 7. Замена дверей (3 этаж)</t>
  </si>
  <si>
    <t xml:space="preserve">  Раздел 8. Уборка мусора (3 этаж)</t>
  </si>
  <si>
    <t xml:space="preserve">Демонтаж чугунных радиаторов отопления (16 секций) </t>
  </si>
  <si>
    <t xml:space="preserve">Монтаж чугунных радиаторов отопления  (16 секций) </t>
  </si>
  <si>
    <t>Жалюзи</t>
  </si>
  <si>
    <t>Смена жалюзи (размер 2290*2560)</t>
  </si>
  <si>
    <r>
      <t xml:space="preserve">Условия производства работ: </t>
    </r>
    <r>
      <rPr>
        <sz val="10"/>
        <rFont val="Times New Roman"/>
        <family val="1"/>
        <charset val="204"/>
      </rPr>
      <t>Производство ремонтных работ в существующих зданиях и сооружениях в стесненных условиях: с наличием в зоне производства работ загромождающих предметов (офисное оборудование, мебель, информационные плакаты)</t>
    </r>
  </si>
  <si>
    <t xml:space="preserve">Окраска масляными составами ранее окрашенных поверхностей труб: стальных за 2 раза (трубы отопления и пож.водопровод)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</si>
</sst>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2"/>
      <name val="Helv"/>
    </font>
    <font>
      <sz val="11"/>
      <name val="Arial Cyr"/>
      <charset val="204"/>
    </font>
    <font>
      <sz val="11"/>
      <name val="Helv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b/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0" fontId="18" fillId="0" borderId="0" applyNumberFormat="0" applyFill="0" applyBorder="0" applyAlignment="0" applyProtection="0"/>
  </cellStyleXfs>
  <cellXfs count="143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0" fillId="0" borderId="0" xfId="0" applyFont="1"/>
    <xf numFmtId="0" fontId="7" fillId="0" borderId="0" xfId="1" applyFont="1" applyFill="1" applyAlignment="1">
      <alignment horizontal="centerContinuous" vertical="top"/>
    </xf>
    <xf numFmtId="0" fontId="7" fillId="0" borderId="0" xfId="1" applyFont="1" applyFill="1" applyAlignment="1">
      <alignment horizontal="left" vertical="top"/>
    </xf>
    <xf numFmtId="0" fontId="7" fillId="0" borderId="0" xfId="1" applyFont="1" applyFill="1" applyAlignment="1">
      <alignment horizontal="center" vertical="top"/>
    </xf>
    <xf numFmtId="0" fontId="7" fillId="0" borderId="0" xfId="1" applyFont="1" applyFill="1" applyAlignment="1">
      <alignment horizontal="centerContinuous" vertical="top" wrapText="1"/>
    </xf>
    <xf numFmtId="0" fontId="7" fillId="0" borderId="0" xfId="0" applyFont="1" applyFill="1"/>
    <xf numFmtId="0" fontId="7" fillId="0" borderId="0" xfId="0" applyFont="1" applyFill="1" applyAlignment="1">
      <alignment horizontal="center" vertical="center"/>
    </xf>
    <xf numFmtId="0" fontId="7" fillId="0" borderId="2" xfId="1" applyFont="1" applyFill="1" applyBorder="1" applyAlignment="1">
      <alignment horizontal="center" vertical="top"/>
    </xf>
    <xf numFmtId="0" fontId="7" fillId="0" borderId="2" xfId="1" applyFont="1" applyFill="1" applyBorder="1" applyAlignment="1">
      <alignment horizontal="center" vertical="top" wrapText="1"/>
    </xf>
    <xf numFmtId="1" fontId="7" fillId="0" borderId="2" xfId="1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center"/>
    </xf>
    <xf numFmtId="0" fontId="5" fillId="0" borderId="0" xfId="0" applyFont="1" applyFill="1"/>
    <xf numFmtId="0" fontId="4" fillId="0" borderId="0" xfId="0" applyFont="1" applyFill="1" applyBorder="1"/>
    <xf numFmtId="0" fontId="5" fillId="0" borderId="0" xfId="1" applyFont="1" applyFill="1" applyAlignment="1">
      <alignment vertical="top"/>
    </xf>
    <xf numFmtId="0" fontId="9" fillId="0" borderId="0" xfId="1" applyFont="1" applyFill="1" applyBorder="1" applyAlignment="1">
      <alignment vertical="top"/>
    </xf>
    <xf numFmtId="0" fontId="9" fillId="0" borderId="0" xfId="1" applyFont="1" applyFill="1" applyBorder="1" applyAlignment="1">
      <alignment horizontal="left" vertical="top"/>
    </xf>
    <xf numFmtId="0" fontId="9" fillId="0" borderId="0" xfId="0" applyFont="1" applyFill="1" applyBorder="1"/>
    <xf numFmtId="0" fontId="9" fillId="0" borderId="0" xfId="0" applyFont="1" applyFill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center" vertical="top"/>
    </xf>
    <xf numFmtId="0" fontId="9" fillId="0" borderId="0" xfId="1" applyFont="1" applyFill="1" applyBorder="1" applyAlignment="1">
      <alignment horizontal="left"/>
    </xf>
    <xf numFmtId="0" fontId="5" fillId="0" borderId="0" xfId="0" applyFont="1" applyFill="1" applyAlignment="1">
      <alignment vertical="top"/>
    </xf>
    <xf numFmtId="0" fontId="11" fillId="0" borderId="0" xfId="1" applyFont="1" applyFill="1" applyAlignment="1">
      <alignment vertical="top"/>
    </xf>
    <xf numFmtId="0" fontId="8" fillId="0" borderId="0" xfId="1" applyFont="1" applyFill="1" applyAlignment="1">
      <alignment horizontal="right" vertical="top"/>
    </xf>
    <xf numFmtId="0" fontId="12" fillId="0" borderId="0" xfId="1" applyFont="1" applyFill="1" applyAlignment="1">
      <alignment vertical="top"/>
    </xf>
    <xf numFmtId="0" fontId="1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/>
    </xf>
    <xf numFmtId="0" fontId="9" fillId="0" borderId="1" xfId="0" applyFont="1" applyBorder="1"/>
    <xf numFmtId="0" fontId="9" fillId="0" borderId="0" xfId="0" applyFont="1" applyBorder="1"/>
    <xf numFmtId="0" fontId="9" fillId="0" borderId="0" xfId="0" applyFont="1" applyFill="1" applyBorder="1" applyAlignment="1">
      <alignment horizontal="center" vertical="top"/>
    </xf>
    <xf numFmtId="0" fontId="7" fillId="0" borderId="2" xfId="0" applyFont="1" applyFill="1" applyBorder="1"/>
    <xf numFmtId="2" fontId="7" fillId="0" borderId="0" xfId="1" applyNumberFormat="1" applyFont="1" applyFill="1" applyAlignment="1">
      <alignment vertical="top"/>
    </xf>
    <xf numFmtId="2" fontId="7" fillId="0" borderId="0" xfId="0" applyNumberFormat="1" applyFont="1" applyFill="1" applyBorder="1" applyAlignment="1"/>
    <xf numFmtId="2" fontId="9" fillId="0" borderId="0" xfId="1" applyNumberFormat="1" applyFont="1" applyFill="1" applyBorder="1" applyAlignment="1">
      <alignment vertical="top"/>
    </xf>
    <xf numFmtId="2" fontId="9" fillId="0" borderId="0" xfId="0" applyNumberFormat="1" applyFont="1" applyFill="1" applyBorder="1" applyAlignment="1"/>
    <xf numFmtId="2" fontId="0" fillId="0" borderId="0" xfId="0" applyNumberFormat="1" applyAlignment="1"/>
    <xf numFmtId="2" fontId="7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left" vertical="top"/>
    </xf>
    <xf numFmtId="49" fontId="8" fillId="0" borderId="0" xfId="1" applyNumberFormat="1" applyFont="1" applyFill="1" applyAlignment="1">
      <alignment vertical="top"/>
    </xf>
    <xf numFmtId="0" fontId="14" fillId="0" borderId="0" xfId="1" applyFont="1" applyFill="1" applyAlignment="1">
      <alignment vertical="top" wrapText="1"/>
    </xf>
    <xf numFmtId="0" fontId="10" fillId="0" borderId="0" xfId="2" applyFont="1" applyAlignment="1">
      <alignment horizontal="left"/>
    </xf>
    <xf numFmtId="0" fontId="5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wrapText="1"/>
    </xf>
    <xf numFmtId="2" fontId="7" fillId="0" borderId="2" xfId="0" applyNumberFormat="1" applyFont="1" applyFill="1" applyBorder="1" applyAlignment="1">
      <alignment horizontal="center" vertical="top"/>
    </xf>
    <xf numFmtId="2" fontId="11" fillId="0" borderId="0" xfId="1" applyNumberFormat="1" applyFont="1" applyFill="1" applyAlignment="1">
      <alignment horizontal="center" vertical="top"/>
    </xf>
    <xf numFmtId="2" fontId="13" fillId="0" borderId="0" xfId="1" applyNumberFormat="1" applyFont="1" applyFill="1" applyAlignment="1">
      <alignment horizontal="center" vertical="top"/>
    </xf>
    <xf numFmtId="2" fontId="7" fillId="0" borderId="0" xfId="1" applyNumberFormat="1" applyFont="1" applyFill="1" applyAlignment="1">
      <alignment horizontal="center" vertical="top"/>
    </xf>
    <xf numFmtId="2" fontId="5" fillId="0" borderId="0" xfId="1" applyNumberFormat="1" applyFont="1" applyFill="1" applyAlignment="1">
      <alignment horizontal="center" vertical="top"/>
    </xf>
    <xf numFmtId="2" fontId="5" fillId="0" borderId="0" xfId="0" applyNumberFormat="1" applyFont="1" applyFill="1" applyAlignment="1">
      <alignment horizontal="center"/>
    </xf>
    <xf numFmtId="2" fontId="15" fillId="0" borderId="0" xfId="0" applyNumberFormat="1" applyFont="1" applyAlignment="1">
      <alignment horizontal="center"/>
    </xf>
    <xf numFmtId="0" fontId="9" fillId="0" borderId="1" xfId="0" applyFont="1" applyFill="1" applyBorder="1"/>
    <xf numFmtId="0" fontId="16" fillId="0" borderId="0" xfId="2" applyFont="1" applyAlignment="1">
      <alignment horizontal="right"/>
    </xf>
    <xf numFmtId="2" fontId="7" fillId="0" borderId="2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/>
    <xf numFmtId="0" fontId="18" fillId="0" borderId="0" xfId="3" applyFill="1"/>
    <xf numFmtId="0" fontId="7" fillId="0" borderId="0" xfId="0" applyFont="1" applyFill="1" applyBorder="1"/>
    <xf numFmtId="0" fontId="7" fillId="2" borderId="0" xfId="0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top" wrapText="1"/>
    </xf>
    <xf numFmtId="2" fontId="7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top"/>
    </xf>
    <xf numFmtId="2" fontId="7" fillId="0" borderId="2" xfId="1" applyNumberFormat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 wrapText="1"/>
    </xf>
    <xf numFmtId="2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vertical="center"/>
    </xf>
    <xf numFmtId="2" fontId="7" fillId="0" borderId="3" xfId="1" applyNumberFormat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/>
    </xf>
    <xf numFmtId="0" fontId="17" fillId="0" borderId="7" xfId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left" vertical="center" wrapText="1"/>
    </xf>
    <xf numFmtId="2" fontId="7" fillId="0" borderId="8" xfId="0" applyNumberFormat="1" applyFont="1" applyFill="1" applyBorder="1" applyAlignment="1">
      <alignment horizontal="left" vertical="center" wrapText="1"/>
    </xf>
    <xf numFmtId="2" fontId="7" fillId="0" borderId="4" xfId="0" applyNumberFormat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2" fontId="7" fillId="0" borderId="3" xfId="1" applyNumberFormat="1" applyFont="1" applyFill="1" applyBorder="1" applyAlignment="1">
      <alignment horizontal="center" vertical="center"/>
    </xf>
    <xf numFmtId="2" fontId="7" fillId="0" borderId="4" xfId="1" applyNumberFormat="1" applyFont="1" applyFill="1" applyBorder="1" applyAlignment="1">
      <alignment horizontal="center" vertical="center"/>
    </xf>
    <xf numFmtId="0" fontId="17" fillId="0" borderId="2" xfId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2" fontId="7" fillId="0" borderId="8" xfId="0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left" vertical="top" wrapText="1"/>
    </xf>
    <xf numFmtId="0" fontId="17" fillId="0" borderId="7" xfId="0" applyFont="1" applyFill="1" applyBorder="1" applyAlignment="1">
      <alignment horizontal="left" vertical="top" wrapText="1"/>
    </xf>
    <xf numFmtId="2" fontId="7" fillId="0" borderId="3" xfId="1" applyNumberFormat="1" applyFont="1" applyFill="1" applyBorder="1" applyAlignment="1">
      <alignment horizontal="center" vertical="center" wrapText="1"/>
    </xf>
    <xf numFmtId="2" fontId="7" fillId="0" borderId="4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19" fillId="2" borderId="0" xfId="1" applyFont="1" applyFill="1" applyBorder="1" applyAlignment="1">
      <alignment horizontal="center" vertical="top" wrapText="1"/>
    </xf>
    <xf numFmtId="0" fontId="6" fillId="0" borderId="0" xfId="1" applyFont="1" applyFill="1" applyAlignment="1">
      <alignment horizontal="center" vertical="top"/>
    </xf>
    <xf numFmtId="0" fontId="7" fillId="0" borderId="2" xfId="1" applyFont="1" applyFill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_дв" xfId="2"/>
    <cellStyle name="Стиль 1" xfId="1"/>
  </cellStyles>
  <dxfs count="0"/>
  <tableStyles count="0" defaultTableStyle="TableStyleMedium9" defaultPivotStyle="PivotStyleLight16"/>
  <colors>
    <mruColors>
      <color rgb="FFD828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2"/>
  <sheetViews>
    <sheetView tabSelected="1" topLeftCell="B1" zoomScale="115" zoomScaleNormal="115" zoomScaleSheetLayoutView="89" workbookViewId="0">
      <selection activeCell="B10" sqref="B10:M10"/>
    </sheetView>
  </sheetViews>
  <sheetFormatPr defaultRowHeight="12.75" x14ac:dyDescent="0.2"/>
  <cols>
    <col min="1" max="1" width="3.5703125" hidden="1" customWidth="1"/>
    <col min="2" max="2" width="5.42578125" customWidth="1"/>
    <col min="3" max="3" width="30.85546875" customWidth="1"/>
    <col min="5" max="5" width="9.140625" style="43"/>
    <col min="6" max="6" width="13.5703125" customWidth="1"/>
    <col min="8" max="8" width="8.42578125" customWidth="1"/>
    <col min="9" max="9" width="13.140625" customWidth="1"/>
    <col min="10" max="10" width="21.5703125" customWidth="1"/>
    <col min="11" max="11" width="7.5703125" customWidth="1"/>
    <col min="12" max="12" width="10.28515625" style="60" customWidth="1"/>
    <col min="13" max="13" width="13.140625" customWidth="1"/>
    <col min="14" max="14" width="24.85546875" customWidth="1"/>
  </cols>
  <sheetData>
    <row r="1" spans="2:15" s="2" customFormat="1" ht="15.75" customHeight="1" x14ac:dyDescent="0.2">
      <c r="B1" s="46"/>
      <c r="C1" s="47"/>
      <c r="D1" s="48"/>
      <c r="E1" s="48"/>
      <c r="F1" s="48"/>
      <c r="G1" s="48"/>
      <c r="H1" s="48"/>
      <c r="I1" s="48"/>
      <c r="J1" s="48"/>
      <c r="K1" s="29"/>
      <c r="L1" s="55"/>
      <c r="M1" s="30" t="s">
        <v>24</v>
      </c>
      <c r="N1" s="1"/>
    </row>
    <row r="2" spans="2:15" s="2" customFormat="1" ht="14.25" customHeight="1" x14ac:dyDescent="0.25">
      <c r="B2" s="49"/>
      <c r="C2" s="31"/>
      <c r="D2" s="48"/>
      <c r="E2" s="48"/>
      <c r="F2" s="48"/>
      <c r="G2" s="48"/>
      <c r="H2" s="48"/>
      <c r="I2" s="48"/>
      <c r="J2" s="48"/>
      <c r="K2" s="32"/>
      <c r="L2" s="56"/>
      <c r="M2" s="62" t="s">
        <v>25</v>
      </c>
      <c r="N2" s="3"/>
    </row>
    <row r="3" spans="2:15" s="2" customFormat="1" ht="14.25" customHeight="1" x14ac:dyDescent="0.25">
      <c r="B3" s="49"/>
      <c r="C3" s="31"/>
      <c r="D3" s="48"/>
      <c r="E3" s="48"/>
      <c r="F3" s="48"/>
      <c r="G3" s="48"/>
      <c r="H3" s="48"/>
      <c r="I3" s="48"/>
      <c r="J3" s="48"/>
      <c r="K3" s="32"/>
      <c r="L3" s="56"/>
      <c r="M3" s="62" t="s">
        <v>27</v>
      </c>
      <c r="N3" s="3"/>
    </row>
    <row r="4" spans="2:15" s="2" customFormat="1" ht="15.75" x14ac:dyDescent="0.25">
      <c r="B4" s="49"/>
      <c r="C4" s="31"/>
      <c r="D4" s="48"/>
      <c r="E4" s="48"/>
      <c r="F4" s="48"/>
      <c r="G4" s="48"/>
      <c r="H4" s="48"/>
      <c r="I4" s="48"/>
      <c r="J4" s="48"/>
      <c r="K4" s="32"/>
      <c r="L4" s="56"/>
      <c r="M4" s="62" t="s">
        <v>26</v>
      </c>
      <c r="N4" s="3"/>
    </row>
    <row r="5" spans="2:15" s="2" customFormat="1" ht="17.25" customHeight="1" x14ac:dyDescent="0.25">
      <c r="B5" s="49"/>
      <c r="C5" s="31"/>
      <c r="D5" s="48"/>
      <c r="E5" s="48"/>
      <c r="F5" s="48"/>
      <c r="G5" s="48"/>
      <c r="H5" s="48"/>
      <c r="I5" s="48"/>
      <c r="J5" s="48"/>
      <c r="K5" s="32"/>
      <c r="L5" s="56"/>
      <c r="M5" s="62" t="s">
        <v>46</v>
      </c>
      <c r="N5" s="3"/>
    </row>
    <row r="6" spans="2:15" s="2" customFormat="1" ht="14.25" customHeight="1" x14ac:dyDescent="0.25">
      <c r="B6" s="49"/>
      <c r="C6" s="31"/>
      <c r="D6" s="48"/>
      <c r="E6" s="48"/>
      <c r="F6" s="48"/>
      <c r="G6" s="48"/>
      <c r="H6" s="48"/>
      <c r="I6" s="48"/>
      <c r="J6" s="48"/>
      <c r="K6" s="32"/>
      <c r="L6" s="56"/>
      <c r="M6" s="62"/>
      <c r="N6" s="3"/>
    </row>
    <row r="7" spans="2:15" s="2" customFormat="1" ht="18" customHeight="1" x14ac:dyDescent="0.25">
      <c r="B7" s="138" t="s">
        <v>12</v>
      </c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4"/>
    </row>
    <row r="8" spans="2:15" s="2" customFormat="1" ht="17.25" customHeight="1" x14ac:dyDescent="0.25">
      <c r="B8" s="139" t="s">
        <v>14</v>
      </c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5"/>
      <c r="O8" s="5"/>
    </row>
    <row r="9" spans="2:15" s="2" customFormat="1" ht="18" customHeight="1" x14ac:dyDescent="0.2">
      <c r="B9" s="140" t="s">
        <v>62</v>
      </c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5"/>
      <c r="O9" s="5"/>
    </row>
    <row r="10" spans="2:15" s="2" customFormat="1" x14ac:dyDescent="0.2">
      <c r="B10" s="141" t="s">
        <v>2</v>
      </c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5"/>
      <c r="O10" s="5"/>
    </row>
    <row r="11" spans="2:15" s="2" customFormat="1" x14ac:dyDescent="0.2">
      <c r="B11" s="141" t="s">
        <v>3</v>
      </c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5"/>
      <c r="O11" s="5"/>
    </row>
    <row r="12" spans="2:15" s="10" customFormat="1" x14ac:dyDescent="0.2">
      <c r="B12" s="6"/>
      <c r="C12" s="7"/>
      <c r="D12" s="6"/>
      <c r="E12" s="39"/>
      <c r="F12" s="9"/>
      <c r="G12" s="6"/>
      <c r="H12" s="6"/>
      <c r="I12" s="6"/>
      <c r="J12" s="6"/>
      <c r="K12" s="8"/>
      <c r="L12" s="57"/>
      <c r="M12" s="6"/>
    </row>
    <row r="13" spans="2:15" s="10" customFormat="1" ht="24.75" customHeight="1" x14ac:dyDescent="0.2">
      <c r="B13" s="142" t="s">
        <v>4</v>
      </c>
      <c r="C13" s="142" t="s">
        <v>5</v>
      </c>
      <c r="D13" s="142" t="s">
        <v>6</v>
      </c>
      <c r="E13" s="142"/>
      <c r="F13" s="142" t="s">
        <v>7</v>
      </c>
      <c r="G13" s="142"/>
      <c r="H13" s="142"/>
      <c r="I13" s="142"/>
      <c r="J13" s="142" t="s">
        <v>8</v>
      </c>
      <c r="K13" s="142"/>
      <c r="L13" s="142"/>
      <c r="M13" s="142"/>
    </row>
    <row r="14" spans="2:15" s="11" customFormat="1" ht="60" x14ac:dyDescent="0.2">
      <c r="B14" s="142"/>
      <c r="C14" s="142"/>
      <c r="D14" s="33" t="s">
        <v>1</v>
      </c>
      <c r="E14" s="44" t="s">
        <v>9</v>
      </c>
      <c r="F14" s="33" t="s">
        <v>0</v>
      </c>
      <c r="G14" s="33" t="s">
        <v>1</v>
      </c>
      <c r="H14" s="33" t="s">
        <v>9</v>
      </c>
      <c r="I14" s="45" t="s">
        <v>10</v>
      </c>
      <c r="J14" s="33" t="s">
        <v>0</v>
      </c>
      <c r="K14" s="33" t="s">
        <v>1</v>
      </c>
      <c r="L14" s="44" t="s">
        <v>9</v>
      </c>
      <c r="M14" s="33" t="s">
        <v>11</v>
      </c>
    </row>
    <row r="15" spans="2:15" s="15" customFormat="1" x14ac:dyDescent="0.2">
      <c r="B15" s="12">
        <v>1</v>
      </c>
      <c r="C15" s="12">
        <v>2</v>
      </c>
      <c r="D15" s="12">
        <v>3</v>
      </c>
      <c r="E15" s="12">
        <v>4</v>
      </c>
      <c r="F15" s="13">
        <v>5</v>
      </c>
      <c r="G15" s="12">
        <v>6</v>
      </c>
      <c r="H15" s="12">
        <v>7</v>
      </c>
      <c r="I15" s="12">
        <v>8</v>
      </c>
      <c r="J15" s="12">
        <v>9</v>
      </c>
      <c r="K15" s="12">
        <v>10</v>
      </c>
      <c r="L15" s="14">
        <v>11</v>
      </c>
      <c r="M15" s="12">
        <v>12</v>
      </c>
    </row>
    <row r="16" spans="2:15" s="15" customFormat="1" ht="17.25" customHeight="1" x14ac:dyDescent="0.2">
      <c r="B16" s="118" t="s">
        <v>63</v>
      </c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</row>
    <row r="17" spans="1:23" s="10" customFormat="1" ht="25.5" x14ac:dyDescent="0.2">
      <c r="B17" s="87">
        <v>1</v>
      </c>
      <c r="C17" s="52" t="s">
        <v>32</v>
      </c>
      <c r="D17" s="87" t="s">
        <v>33</v>
      </c>
      <c r="E17" s="87">
        <f>(5.6+5.7+3+6.26)-0.84</f>
        <v>19.720000000000002</v>
      </c>
      <c r="F17" s="77" t="s">
        <v>34</v>
      </c>
      <c r="G17" s="87" t="s">
        <v>33</v>
      </c>
      <c r="H17" s="87">
        <f>E17</f>
        <v>19.720000000000002</v>
      </c>
      <c r="I17" s="84" t="s">
        <v>37</v>
      </c>
      <c r="J17" s="87"/>
      <c r="K17" s="85"/>
      <c r="L17" s="85"/>
      <c r="M17" s="85"/>
      <c r="N17" s="72"/>
      <c r="O17" s="73"/>
      <c r="P17" s="73"/>
    </row>
    <row r="18" spans="1:23" s="10" customFormat="1" ht="25.5" x14ac:dyDescent="0.2">
      <c r="B18" s="87">
        <v>2</v>
      </c>
      <c r="C18" s="52" t="s">
        <v>30</v>
      </c>
      <c r="D18" s="87" t="s">
        <v>22</v>
      </c>
      <c r="E18" s="88">
        <v>24.51</v>
      </c>
      <c r="F18" s="89" t="s">
        <v>35</v>
      </c>
      <c r="G18" s="87" t="s">
        <v>18</v>
      </c>
      <c r="H18" s="88">
        <f>(E18/100)*0.47</f>
        <v>0.11519699999999999</v>
      </c>
      <c r="I18" s="87" t="s">
        <v>15</v>
      </c>
      <c r="J18" s="87"/>
      <c r="K18" s="85"/>
      <c r="L18" s="85"/>
      <c r="M18" s="85"/>
      <c r="N18" s="72"/>
      <c r="O18" s="73"/>
      <c r="P18" s="73"/>
    </row>
    <row r="19" spans="1:23" s="10" customFormat="1" ht="25.5" x14ac:dyDescent="0.2">
      <c r="A19" s="67"/>
      <c r="B19" s="87">
        <v>3</v>
      </c>
      <c r="C19" s="82" t="s">
        <v>41</v>
      </c>
      <c r="D19" s="87" t="s">
        <v>22</v>
      </c>
      <c r="E19" s="88">
        <f>E18</f>
        <v>24.51</v>
      </c>
      <c r="F19" s="87"/>
      <c r="G19" s="87"/>
      <c r="H19" s="87"/>
      <c r="I19" s="87"/>
      <c r="J19" s="78" t="s">
        <v>38</v>
      </c>
      <c r="K19" s="87" t="s">
        <v>28</v>
      </c>
      <c r="L19" s="88">
        <f>15*E19</f>
        <v>367.65000000000003</v>
      </c>
      <c r="M19" s="66" t="s">
        <v>19</v>
      </c>
      <c r="N19" s="70"/>
      <c r="O19" s="65"/>
      <c r="P19" s="65"/>
    </row>
    <row r="20" spans="1:23" s="10" customFormat="1" ht="38.25" x14ac:dyDescent="0.2">
      <c r="A20" s="69"/>
      <c r="B20" s="106">
        <v>4</v>
      </c>
      <c r="C20" s="114" t="s">
        <v>36</v>
      </c>
      <c r="D20" s="106" t="s">
        <v>22</v>
      </c>
      <c r="E20" s="116">
        <f>E19</f>
        <v>24.51</v>
      </c>
      <c r="F20" s="106"/>
      <c r="G20" s="106"/>
      <c r="H20" s="106"/>
      <c r="I20" s="106"/>
      <c r="J20" s="78" t="s">
        <v>40</v>
      </c>
      <c r="K20" s="87" t="s">
        <v>22</v>
      </c>
      <c r="L20" s="88">
        <f>E20*1.02</f>
        <v>25.000200000000003</v>
      </c>
      <c r="M20" s="66" t="s">
        <v>19</v>
      </c>
      <c r="N20" s="70"/>
      <c r="O20" s="65"/>
      <c r="P20" s="65"/>
      <c r="W20" s="68"/>
    </row>
    <row r="21" spans="1:23" s="10" customFormat="1" ht="14.25" customHeight="1" x14ac:dyDescent="0.2">
      <c r="A21" s="69"/>
      <c r="B21" s="107"/>
      <c r="C21" s="115"/>
      <c r="D21" s="107"/>
      <c r="E21" s="117"/>
      <c r="F21" s="107"/>
      <c r="G21" s="107"/>
      <c r="H21" s="107"/>
      <c r="I21" s="107"/>
      <c r="J21" s="78" t="s">
        <v>39</v>
      </c>
      <c r="K21" s="87" t="s">
        <v>28</v>
      </c>
      <c r="L21" s="88">
        <f>0.25*E20</f>
        <v>6.1275000000000004</v>
      </c>
      <c r="M21" s="66" t="s">
        <v>19</v>
      </c>
      <c r="N21" s="70"/>
      <c r="O21" s="65"/>
      <c r="P21" s="65"/>
      <c r="W21" s="68"/>
    </row>
    <row r="22" spans="1:23" s="10" customFormat="1" ht="25.5" x14ac:dyDescent="0.2">
      <c r="A22" s="69"/>
      <c r="B22" s="87">
        <v>5</v>
      </c>
      <c r="C22" s="82" t="s">
        <v>31</v>
      </c>
      <c r="D22" s="87" t="s">
        <v>33</v>
      </c>
      <c r="E22" s="87">
        <f>E17</f>
        <v>19.720000000000002</v>
      </c>
      <c r="F22" s="87"/>
      <c r="G22" s="87"/>
      <c r="H22" s="87"/>
      <c r="I22" s="87"/>
      <c r="J22" s="77" t="s">
        <v>34</v>
      </c>
      <c r="K22" s="87" t="s">
        <v>33</v>
      </c>
      <c r="L22" s="87">
        <f>E17</f>
        <v>19.720000000000002</v>
      </c>
      <c r="M22" s="84" t="s">
        <v>37</v>
      </c>
      <c r="N22" s="70"/>
      <c r="O22" s="65"/>
      <c r="P22" s="65"/>
      <c r="W22" s="68"/>
    </row>
    <row r="23" spans="1:23" s="10" customFormat="1" ht="38.25" x14ac:dyDescent="0.2">
      <c r="A23" s="69"/>
      <c r="B23" s="84">
        <v>6</v>
      </c>
      <c r="C23" s="82" t="s">
        <v>51</v>
      </c>
      <c r="D23" s="84" t="s">
        <v>22</v>
      </c>
      <c r="E23" s="44">
        <f>(3.16*0.83+0.8*2.5+0.12*3.16+0.12*2.5+0.12*3*0.83)-(1.9*0.7)</f>
        <v>4.2707999999999995</v>
      </c>
      <c r="F23" s="78" t="s">
        <v>47</v>
      </c>
      <c r="G23" s="84" t="s">
        <v>18</v>
      </c>
      <c r="H23" s="79">
        <f>(0.62*1.51*0.0025)+(3.34*0.0073)+0.015</f>
        <v>4.1722499999999996E-2</v>
      </c>
      <c r="I23" s="84" t="s">
        <v>15</v>
      </c>
      <c r="J23" s="77"/>
      <c r="K23" s="84"/>
      <c r="L23" s="84"/>
      <c r="M23" s="83"/>
      <c r="N23" s="70"/>
      <c r="O23" s="65"/>
      <c r="P23" s="65"/>
      <c r="W23" s="68"/>
    </row>
    <row r="24" spans="1:23" s="10" customFormat="1" ht="38.25" x14ac:dyDescent="0.2">
      <c r="A24" s="69"/>
      <c r="B24" s="84">
        <v>7</v>
      </c>
      <c r="C24" s="82" t="s">
        <v>64</v>
      </c>
      <c r="D24" s="84" t="s">
        <v>23</v>
      </c>
      <c r="E24" s="44">
        <v>2</v>
      </c>
      <c r="F24" s="78" t="s">
        <v>49</v>
      </c>
      <c r="G24" s="84" t="s">
        <v>29</v>
      </c>
      <c r="H24" s="79">
        <v>2</v>
      </c>
      <c r="I24" s="84" t="s">
        <v>37</v>
      </c>
      <c r="J24" s="77"/>
      <c r="K24" s="84"/>
      <c r="L24" s="84"/>
      <c r="M24" s="83"/>
      <c r="N24" s="70"/>
      <c r="O24" s="65"/>
      <c r="P24" s="65"/>
      <c r="W24" s="68"/>
    </row>
    <row r="25" spans="1:23" s="10" customFormat="1" ht="51.75" customHeight="1" x14ac:dyDescent="0.2">
      <c r="A25" s="69"/>
      <c r="B25" s="84">
        <v>8</v>
      </c>
      <c r="C25" s="82" t="s">
        <v>60</v>
      </c>
      <c r="D25" s="84" t="s">
        <v>22</v>
      </c>
      <c r="E25" s="44">
        <f>(0.83*3.16+0.83*0.14*2+3.16*0.14)+(2.5*0.8+0.8*0.15*2+2.5*0.15)</f>
        <v>5.9126000000000003</v>
      </c>
      <c r="F25" s="84"/>
      <c r="G25" s="84"/>
      <c r="H25" s="84"/>
      <c r="I25" s="84"/>
      <c r="J25" s="77" t="s">
        <v>55</v>
      </c>
      <c r="K25" s="84" t="s">
        <v>18</v>
      </c>
      <c r="L25" s="79">
        <f>0.063*(E25/100)</f>
        <v>3.7249380000000006E-3</v>
      </c>
      <c r="M25" s="66" t="s">
        <v>19</v>
      </c>
      <c r="N25" s="70"/>
      <c r="O25" s="65"/>
      <c r="P25" s="65"/>
      <c r="W25" s="68"/>
    </row>
    <row r="26" spans="1:23" s="10" customFormat="1" ht="45.75" customHeight="1" x14ac:dyDescent="0.2">
      <c r="A26" s="69"/>
      <c r="B26" s="84">
        <v>9</v>
      </c>
      <c r="C26" s="82" t="s">
        <v>57</v>
      </c>
      <c r="D26" s="84" t="s">
        <v>22</v>
      </c>
      <c r="E26" s="44">
        <v>0.8</v>
      </c>
      <c r="F26" s="84"/>
      <c r="G26" s="84"/>
      <c r="H26" s="84"/>
      <c r="I26" s="84"/>
      <c r="J26" s="77" t="s">
        <v>54</v>
      </c>
      <c r="K26" s="84" t="s">
        <v>28</v>
      </c>
      <c r="L26" s="44">
        <f>(0.0161*1000/100)*E26</f>
        <v>0.1288</v>
      </c>
      <c r="M26" s="66" t="s">
        <v>19</v>
      </c>
      <c r="N26" s="70"/>
      <c r="O26" s="65"/>
      <c r="P26" s="65"/>
      <c r="W26" s="68"/>
    </row>
    <row r="27" spans="1:23" s="10" customFormat="1" ht="44.25" customHeight="1" x14ac:dyDescent="0.2">
      <c r="A27" s="69"/>
      <c r="B27" s="84">
        <v>10</v>
      </c>
      <c r="C27" s="82" t="s">
        <v>65</v>
      </c>
      <c r="D27" s="84" t="s">
        <v>23</v>
      </c>
      <c r="E27" s="44">
        <v>2</v>
      </c>
      <c r="F27" s="78"/>
      <c r="G27" s="84"/>
      <c r="H27" s="79"/>
      <c r="I27" s="84"/>
      <c r="J27" s="78" t="s">
        <v>49</v>
      </c>
      <c r="K27" s="84" t="s">
        <v>29</v>
      </c>
      <c r="L27" s="79">
        <v>2</v>
      </c>
      <c r="M27" s="84" t="s">
        <v>37</v>
      </c>
      <c r="N27" s="70"/>
      <c r="O27" s="65"/>
      <c r="P27" s="65"/>
      <c r="W27" s="68"/>
    </row>
    <row r="28" spans="1:23" s="10" customFormat="1" ht="38.25" x14ac:dyDescent="0.2">
      <c r="A28" s="69"/>
      <c r="B28" s="66">
        <v>11</v>
      </c>
      <c r="C28" s="82" t="s">
        <v>50</v>
      </c>
      <c r="D28" s="84" t="s">
        <v>23</v>
      </c>
      <c r="E28" s="44">
        <v>2</v>
      </c>
      <c r="F28" s="83"/>
      <c r="G28" s="66"/>
      <c r="H28" s="63"/>
      <c r="I28" s="66"/>
      <c r="J28" s="82" t="s">
        <v>52</v>
      </c>
      <c r="K28" s="84" t="s">
        <v>29</v>
      </c>
      <c r="L28" s="79">
        <v>2</v>
      </c>
      <c r="M28" s="66" t="s">
        <v>19</v>
      </c>
      <c r="N28" s="70"/>
      <c r="O28" s="65"/>
      <c r="P28" s="65"/>
      <c r="W28" s="68"/>
    </row>
    <row r="29" spans="1:23" s="10" customFormat="1" ht="38.25" x14ac:dyDescent="0.2">
      <c r="A29" s="69"/>
      <c r="B29" s="100">
        <v>12</v>
      </c>
      <c r="C29" s="114" t="s">
        <v>48</v>
      </c>
      <c r="D29" s="119" t="s">
        <v>22</v>
      </c>
      <c r="E29" s="121">
        <f>((5.6+5.7+3+6.26)*2.96)-(3.13*2.05+2.24*2.05+0.84*2.05)</f>
        <v>48.127100000000006</v>
      </c>
      <c r="F29" s="123" t="s">
        <v>47</v>
      </c>
      <c r="G29" s="100" t="s">
        <v>18</v>
      </c>
      <c r="H29" s="125">
        <v>1.4999999999999999E-2</v>
      </c>
      <c r="I29" s="100" t="s">
        <v>15</v>
      </c>
      <c r="J29" s="90" t="s">
        <v>56</v>
      </c>
      <c r="K29" s="86" t="s">
        <v>22</v>
      </c>
      <c r="L29" s="91">
        <f>E29*1.12</f>
        <v>53.902352000000015</v>
      </c>
      <c r="M29" s="66" t="s">
        <v>19</v>
      </c>
      <c r="N29" s="70"/>
      <c r="O29" s="65"/>
      <c r="P29" s="65"/>
      <c r="W29" s="68"/>
    </row>
    <row r="30" spans="1:23" s="10" customFormat="1" ht="25.5" x14ac:dyDescent="0.2">
      <c r="A30" s="69"/>
      <c r="B30" s="102"/>
      <c r="C30" s="115"/>
      <c r="D30" s="120"/>
      <c r="E30" s="122"/>
      <c r="F30" s="124"/>
      <c r="G30" s="102"/>
      <c r="H30" s="126"/>
      <c r="I30" s="102"/>
      <c r="J30" s="90" t="s">
        <v>53</v>
      </c>
      <c r="K30" s="86" t="s">
        <v>28</v>
      </c>
      <c r="L30" s="91">
        <f>E29*0.015</f>
        <v>0.72190650000000001</v>
      </c>
      <c r="M30" s="66" t="s">
        <v>19</v>
      </c>
      <c r="N30" s="70"/>
      <c r="O30" s="65"/>
      <c r="P30" s="65"/>
      <c r="W30" s="68"/>
    </row>
    <row r="31" spans="1:23" s="10" customFormat="1" ht="21" customHeight="1" x14ac:dyDescent="0.2">
      <c r="A31" s="95" t="s">
        <v>66</v>
      </c>
      <c r="B31" s="108" t="s">
        <v>66</v>
      </c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10"/>
      <c r="N31" s="70"/>
      <c r="O31" s="65"/>
      <c r="P31" s="65"/>
      <c r="W31" s="68"/>
    </row>
    <row r="32" spans="1:23" s="10" customFormat="1" ht="33" customHeight="1" x14ac:dyDescent="0.2">
      <c r="A32" s="71"/>
      <c r="B32" s="87">
        <v>13</v>
      </c>
      <c r="C32" s="82" t="s">
        <v>32</v>
      </c>
      <c r="D32" s="87" t="s">
        <v>33</v>
      </c>
      <c r="E32" s="87">
        <f>(9.74*2+1.4*2-0.94*4-0.84)+(2.6*2+1.95*2-0.94*3)</f>
        <v>23.96</v>
      </c>
      <c r="F32" s="77" t="s">
        <v>34</v>
      </c>
      <c r="G32" s="87" t="s">
        <v>33</v>
      </c>
      <c r="H32" s="87">
        <f>E32</f>
        <v>23.96</v>
      </c>
      <c r="I32" s="84" t="s">
        <v>37</v>
      </c>
      <c r="J32" s="87"/>
      <c r="K32" s="85"/>
      <c r="L32" s="85"/>
      <c r="M32" s="85"/>
      <c r="N32" s="70"/>
      <c r="O32" s="65"/>
      <c r="P32" s="65"/>
      <c r="W32" s="68"/>
    </row>
    <row r="33" spans="1:23" s="10" customFormat="1" ht="27.75" customHeight="1" x14ac:dyDescent="0.2">
      <c r="A33" s="71"/>
      <c r="B33" s="87">
        <v>14</v>
      </c>
      <c r="C33" s="52" t="s">
        <v>30</v>
      </c>
      <c r="D33" s="87" t="s">
        <v>22</v>
      </c>
      <c r="E33" s="88">
        <f>9.74*1.4+1.95*2.6</f>
        <v>18.706</v>
      </c>
      <c r="F33" s="89" t="s">
        <v>35</v>
      </c>
      <c r="G33" s="87" t="s">
        <v>18</v>
      </c>
      <c r="H33" s="88">
        <f>(E33/100)*0.47</f>
        <v>8.7918200000000002E-2</v>
      </c>
      <c r="I33" s="87" t="s">
        <v>15</v>
      </c>
      <c r="J33" s="87"/>
      <c r="K33" s="85"/>
      <c r="L33" s="85"/>
      <c r="M33" s="85"/>
      <c r="N33" s="70"/>
      <c r="O33" s="65"/>
      <c r="P33" s="65"/>
      <c r="W33" s="68"/>
    </row>
    <row r="34" spans="1:23" s="10" customFormat="1" ht="28.5" customHeight="1" x14ac:dyDescent="0.2">
      <c r="A34" s="71"/>
      <c r="B34" s="87">
        <v>15</v>
      </c>
      <c r="C34" s="82" t="s">
        <v>41</v>
      </c>
      <c r="D34" s="87" t="s">
        <v>22</v>
      </c>
      <c r="E34" s="88">
        <f>E33</f>
        <v>18.706</v>
      </c>
      <c r="F34" s="87"/>
      <c r="G34" s="87"/>
      <c r="H34" s="87"/>
      <c r="I34" s="87"/>
      <c r="J34" s="78" t="s">
        <v>38</v>
      </c>
      <c r="K34" s="87" t="s">
        <v>28</v>
      </c>
      <c r="L34" s="88">
        <f>15*E34</f>
        <v>280.58999999999997</v>
      </c>
      <c r="M34" s="66" t="s">
        <v>19</v>
      </c>
      <c r="N34" s="70"/>
      <c r="O34" s="65"/>
      <c r="P34" s="65"/>
      <c r="W34" s="68"/>
    </row>
    <row r="35" spans="1:23" s="10" customFormat="1" ht="38.25" x14ac:dyDescent="0.2">
      <c r="A35" s="71"/>
      <c r="B35" s="106">
        <v>16</v>
      </c>
      <c r="C35" s="114" t="s">
        <v>36</v>
      </c>
      <c r="D35" s="106" t="s">
        <v>22</v>
      </c>
      <c r="E35" s="116">
        <f>E34</f>
        <v>18.706</v>
      </c>
      <c r="F35" s="106"/>
      <c r="G35" s="106"/>
      <c r="H35" s="106"/>
      <c r="I35" s="106"/>
      <c r="J35" s="78" t="s">
        <v>40</v>
      </c>
      <c r="K35" s="87" t="s">
        <v>22</v>
      </c>
      <c r="L35" s="88">
        <f>E35*1.02</f>
        <v>19.080120000000001</v>
      </c>
      <c r="M35" s="66" t="s">
        <v>19</v>
      </c>
      <c r="N35" s="70"/>
      <c r="O35" s="65"/>
      <c r="P35" s="65"/>
      <c r="W35" s="68"/>
    </row>
    <row r="36" spans="1:23" s="10" customFormat="1" x14ac:dyDescent="0.2">
      <c r="A36" s="71"/>
      <c r="B36" s="107"/>
      <c r="C36" s="115"/>
      <c r="D36" s="107"/>
      <c r="E36" s="117"/>
      <c r="F36" s="107"/>
      <c r="G36" s="107"/>
      <c r="H36" s="107"/>
      <c r="I36" s="107"/>
      <c r="J36" s="78" t="s">
        <v>39</v>
      </c>
      <c r="K36" s="87" t="s">
        <v>28</v>
      </c>
      <c r="L36" s="88">
        <f>0.25*E35</f>
        <v>4.6764999999999999</v>
      </c>
      <c r="M36" s="66" t="s">
        <v>19</v>
      </c>
      <c r="N36" s="70"/>
      <c r="O36" s="65"/>
      <c r="P36" s="65"/>
      <c r="W36" s="68"/>
    </row>
    <row r="37" spans="1:23" s="10" customFormat="1" ht="29.25" customHeight="1" x14ac:dyDescent="0.2">
      <c r="A37" s="71"/>
      <c r="B37" s="87">
        <v>17</v>
      </c>
      <c r="C37" s="82" t="s">
        <v>31</v>
      </c>
      <c r="D37" s="87" t="s">
        <v>33</v>
      </c>
      <c r="E37" s="87">
        <f>E32</f>
        <v>23.96</v>
      </c>
      <c r="F37" s="87"/>
      <c r="G37" s="87"/>
      <c r="H37" s="87"/>
      <c r="I37" s="87"/>
      <c r="J37" s="77" t="s">
        <v>34</v>
      </c>
      <c r="K37" s="87" t="s">
        <v>33</v>
      </c>
      <c r="L37" s="87">
        <f>E32</f>
        <v>23.96</v>
      </c>
      <c r="M37" s="84" t="s">
        <v>37</v>
      </c>
      <c r="N37" s="70"/>
      <c r="O37" s="65"/>
      <c r="P37" s="65"/>
      <c r="W37" s="68"/>
    </row>
    <row r="38" spans="1:23" s="10" customFormat="1" ht="38.25" x14ac:dyDescent="0.2">
      <c r="A38" s="71"/>
      <c r="B38" s="84">
        <v>18</v>
      </c>
      <c r="C38" s="82" t="s">
        <v>71</v>
      </c>
      <c r="D38" s="84" t="s">
        <v>22</v>
      </c>
      <c r="E38" s="44">
        <f>0.85*2.05</f>
        <v>1.7424999999999997</v>
      </c>
      <c r="F38" s="78" t="s">
        <v>73</v>
      </c>
      <c r="G38" s="84" t="s">
        <v>18</v>
      </c>
      <c r="H38" s="79">
        <v>0.18</v>
      </c>
      <c r="I38" s="84" t="s">
        <v>15</v>
      </c>
      <c r="J38" s="77"/>
      <c r="K38" s="84"/>
      <c r="L38" s="84"/>
      <c r="M38" s="83"/>
      <c r="N38" s="70"/>
      <c r="O38" s="65"/>
      <c r="P38" s="65"/>
      <c r="W38" s="68"/>
    </row>
    <row r="39" spans="1:23" s="10" customFormat="1" ht="38.25" x14ac:dyDescent="0.2">
      <c r="A39" s="71"/>
      <c r="B39" s="130">
        <v>19</v>
      </c>
      <c r="C39" s="114" t="s">
        <v>72</v>
      </c>
      <c r="D39" s="130" t="s">
        <v>23</v>
      </c>
      <c r="E39" s="135">
        <v>1</v>
      </c>
      <c r="F39" s="130"/>
      <c r="G39" s="130"/>
      <c r="H39" s="127"/>
      <c r="I39" s="130"/>
      <c r="J39" s="77" t="s">
        <v>78</v>
      </c>
      <c r="K39" s="84" t="s">
        <v>29</v>
      </c>
      <c r="L39" s="84">
        <v>1</v>
      </c>
      <c r="M39" s="83" t="s">
        <v>19</v>
      </c>
      <c r="N39" s="70"/>
      <c r="O39" s="65"/>
      <c r="P39" s="65"/>
      <c r="W39" s="68"/>
    </row>
    <row r="40" spans="1:23" s="10" customFormat="1" ht="25.5" x14ac:dyDescent="0.2">
      <c r="A40" s="71"/>
      <c r="B40" s="131"/>
      <c r="C40" s="115"/>
      <c r="D40" s="131"/>
      <c r="E40" s="136"/>
      <c r="F40" s="131"/>
      <c r="G40" s="131"/>
      <c r="H40" s="128"/>
      <c r="I40" s="131"/>
      <c r="J40" s="77" t="s">
        <v>79</v>
      </c>
      <c r="K40" s="84" t="s">
        <v>33</v>
      </c>
      <c r="L40" s="44">
        <f>(2.05*4+0.85*2)*1.12</f>
        <v>11.087999999999999</v>
      </c>
      <c r="M40" s="83" t="s">
        <v>19</v>
      </c>
      <c r="N40" s="70"/>
      <c r="O40" s="65"/>
      <c r="P40" s="65"/>
      <c r="W40" s="68"/>
    </row>
    <row r="41" spans="1:23" s="10" customFormat="1" ht="41.25" customHeight="1" x14ac:dyDescent="0.2">
      <c r="A41" s="71"/>
      <c r="B41" s="84">
        <v>20</v>
      </c>
      <c r="C41" s="82" t="s">
        <v>57</v>
      </c>
      <c r="D41" s="84" t="s">
        <v>22</v>
      </c>
      <c r="E41" s="44">
        <v>1.8</v>
      </c>
      <c r="F41" s="84"/>
      <c r="G41" s="84"/>
      <c r="H41" s="84"/>
      <c r="I41" s="84"/>
      <c r="J41" s="77" t="s">
        <v>54</v>
      </c>
      <c r="K41" s="84" t="s">
        <v>28</v>
      </c>
      <c r="L41" s="44">
        <f>(0.0161*1000/100)*E41</f>
        <v>0.2898</v>
      </c>
      <c r="M41" s="66" t="s">
        <v>19</v>
      </c>
      <c r="N41" s="70"/>
      <c r="O41" s="65"/>
      <c r="P41" s="65"/>
      <c r="W41" s="68"/>
    </row>
    <row r="42" spans="1:23" s="10" customFormat="1" ht="54.75" customHeight="1" x14ac:dyDescent="0.2">
      <c r="A42" s="71"/>
      <c r="B42" s="86">
        <v>21</v>
      </c>
      <c r="C42" s="90" t="s">
        <v>69</v>
      </c>
      <c r="D42" s="92" t="s">
        <v>22</v>
      </c>
      <c r="E42" s="88">
        <f>(9.74*2*2.87+1.4*2*2.87)+(2.6*2*2.97+1.95*2*2.97)-(2.05*0.85*3+2.05*0.75+0.85*1.95)</f>
        <v>82.548100000000005</v>
      </c>
      <c r="F42" s="93"/>
      <c r="G42" s="86"/>
      <c r="H42" s="94"/>
      <c r="I42" s="86"/>
      <c r="J42" s="90" t="s">
        <v>70</v>
      </c>
      <c r="K42" s="86" t="s">
        <v>18</v>
      </c>
      <c r="L42" s="94">
        <f>E42/100*0.0298</f>
        <v>2.4599333800000001E-2</v>
      </c>
      <c r="M42" s="66" t="s">
        <v>19</v>
      </c>
      <c r="N42" s="70"/>
      <c r="O42" s="65"/>
      <c r="P42" s="65"/>
      <c r="W42" s="68"/>
    </row>
    <row r="43" spans="1:23" s="10" customFormat="1" x14ac:dyDescent="0.2">
      <c r="A43" s="71"/>
      <c r="B43" s="103" t="s">
        <v>67</v>
      </c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5"/>
      <c r="N43" s="70"/>
      <c r="O43" s="65"/>
      <c r="P43" s="65"/>
      <c r="W43" s="68"/>
    </row>
    <row r="44" spans="1:23" s="10" customFormat="1" ht="38.25" x14ac:dyDescent="0.2">
      <c r="A44" s="71"/>
      <c r="B44" s="66">
        <v>22</v>
      </c>
      <c r="C44" s="82" t="s">
        <v>71</v>
      </c>
      <c r="D44" s="66" t="s">
        <v>22</v>
      </c>
      <c r="E44" s="44">
        <f>0.85*2.05*4+0.85*1.95+2.05*0.75</f>
        <v>10.164999999999999</v>
      </c>
      <c r="F44" s="78" t="s">
        <v>73</v>
      </c>
      <c r="G44" s="84" t="s">
        <v>18</v>
      </c>
      <c r="H44" s="79">
        <v>1.07</v>
      </c>
      <c r="I44" s="84" t="s">
        <v>15</v>
      </c>
      <c r="J44" s="66"/>
      <c r="K44" s="66"/>
      <c r="L44" s="66"/>
      <c r="M44" s="66"/>
      <c r="N44" s="70"/>
      <c r="O44" s="65"/>
      <c r="P44" s="65"/>
      <c r="W44" s="68"/>
    </row>
    <row r="45" spans="1:23" s="10" customFormat="1" ht="25.5" x14ac:dyDescent="0.2">
      <c r="A45" s="71"/>
      <c r="B45" s="86">
        <v>23</v>
      </c>
      <c r="C45" s="90" t="s">
        <v>82</v>
      </c>
      <c r="D45" s="86" t="s">
        <v>23</v>
      </c>
      <c r="E45" s="96">
        <v>1</v>
      </c>
      <c r="F45" s="93" t="s">
        <v>84</v>
      </c>
      <c r="G45" s="97" t="s">
        <v>29</v>
      </c>
      <c r="H45" s="98">
        <v>1</v>
      </c>
      <c r="I45" s="84" t="s">
        <v>37</v>
      </c>
      <c r="J45" s="66"/>
      <c r="K45" s="66"/>
      <c r="L45" s="66"/>
      <c r="M45" s="66"/>
      <c r="N45" s="70"/>
      <c r="O45" s="65"/>
      <c r="P45" s="65"/>
      <c r="W45" s="68"/>
    </row>
    <row r="46" spans="1:23" s="10" customFormat="1" ht="51" x14ac:dyDescent="0.2">
      <c r="A46" s="71"/>
      <c r="B46" s="100">
        <v>24</v>
      </c>
      <c r="C46" s="111" t="s">
        <v>75</v>
      </c>
      <c r="D46" s="100" t="s">
        <v>22</v>
      </c>
      <c r="E46" s="121">
        <f>2.05*0.85*4+2.05*0.75+1.95*0.85</f>
        <v>10.164999999999999</v>
      </c>
      <c r="F46" s="100"/>
      <c r="G46" s="100"/>
      <c r="H46" s="100"/>
      <c r="I46" s="100"/>
      <c r="J46" s="82" t="s">
        <v>76</v>
      </c>
      <c r="K46" s="66" t="s">
        <v>29</v>
      </c>
      <c r="L46" s="66">
        <v>4</v>
      </c>
      <c r="M46" s="66" t="s">
        <v>19</v>
      </c>
      <c r="N46" s="70"/>
      <c r="O46" s="65"/>
      <c r="P46" s="65"/>
      <c r="W46" s="68"/>
    </row>
    <row r="47" spans="1:23" s="10" customFormat="1" ht="51" x14ac:dyDescent="0.2">
      <c r="A47" s="71"/>
      <c r="B47" s="101"/>
      <c r="C47" s="112"/>
      <c r="D47" s="101"/>
      <c r="E47" s="129"/>
      <c r="F47" s="101"/>
      <c r="G47" s="101"/>
      <c r="H47" s="101"/>
      <c r="I47" s="101"/>
      <c r="J47" s="82" t="s">
        <v>77</v>
      </c>
      <c r="K47" s="66" t="s">
        <v>29</v>
      </c>
      <c r="L47" s="66">
        <v>1</v>
      </c>
      <c r="M47" s="66" t="s">
        <v>19</v>
      </c>
      <c r="N47" s="70"/>
      <c r="O47" s="65"/>
      <c r="P47" s="65"/>
      <c r="W47" s="68"/>
    </row>
    <row r="48" spans="1:23" s="10" customFormat="1" ht="51" x14ac:dyDescent="0.2">
      <c r="A48" s="71"/>
      <c r="B48" s="101"/>
      <c r="C48" s="112"/>
      <c r="D48" s="101"/>
      <c r="E48" s="129"/>
      <c r="F48" s="101"/>
      <c r="G48" s="101"/>
      <c r="H48" s="101"/>
      <c r="I48" s="101"/>
      <c r="J48" s="82" t="s">
        <v>81</v>
      </c>
      <c r="K48" s="66" t="s">
        <v>29</v>
      </c>
      <c r="L48" s="66">
        <v>1</v>
      </c>
      <c r="M48" s="66" t="s">
        <v>19</v>
      </c>
      <c r="N48" s="70"/>
      <c r="O48" s="65"/>
      <c r="P48" s="65"/>
      <c r="W48" s="68"/>
    </row>
    <row r="49" spans="1:23" s="10" customFormat="1" ht="25.5" x14ac:dyDescent="0.2">
      <c r="A49" s="71"/>
      <c r="B49" s="101"/>
      <c r="C49" s="112"/>
      <c r="D49" s="101"/>
      <c r="E49" s="129"/>
      <c r="F49" s="101"/>
      <c r="G49" s="101"/>
      <c r="H49" s="101"/>
      <c r="I49" s="101"/>
      <c r="J49" s="77" t="s">
        <v>79</v>
      </c>
      <c r="K49" s="66" t="s">
        <v>33</v>
      </c>
      <c r="L49" s="44">
        <f>(2.05*4*5+0.85*2*4+0.75*2)*1.12</f>
        <v>55.216000000000001</v>
      </c>
      <c r="M49" s="66" t="s">
        <v>19</v>
      </c>
      <c r="N49" s="70"/>
      <c r="O49" s="65"/>
      <c r="P49" s="65"/>
      <c r="W49" s="68"/>
    </row>
    <row r="50" spans="1:23" s="10" customFormat="1" ht="25.5" x14ac:dyDescent="0.2">
      <c r="A50" s="71"/>
      <c r="B50" s="102"/>
      <c r="C50" s="113"/>
      <c r="D50" s="102"/>
      <c r="E50" s="122"/>
      <c r="F50" s="102"/>
      <c r="G50" s="102"/>
      <c r="H50" s="102"/>
      <c r="I50" s="102"/>
      <c r="J50" s="77" t="s">
        <v>80</v>
      </c>
      <c r="K50" s="66" t="s">
        <v>33</v>
      </c>
      <c r="L50" s="44">
        <f>(2.05*2*5+0.85*4+0.75)*1.12</f>
        <v>27.608000000000001</v>
      </c>
      <c r="M50" s="66" t="s">
        <v>19</v>
      </c>
      <c r="N50" s="70"/>
      <c r="O50" s="65"/>
      <c r="P50" s="65"/>
      <c r="W50" s="68"/>
    </row>
    <row r="51" spans="1:23" s="10" customFormat="1" ht="25.5" x14ac:dyDescent="0.2">
      <c r="A51" s="71"/>
      <c r="B51" s="66">
        <v>25</v>
      </c>
      <c r="C51" s="90" t="s">
        <v>83</v>
      </c>
      <c r="D51" s="86" t="s">
        <v>23</v>
      </c>
      <c r="E51" s="96">
        <v>1</v>
      </c>
      <c r="F51" s="66"/>
      <c r="G51" s="66"/>
      <c r="H51" s="66"/>
      <c r="I51" s="66"/>
      <c r="J51" s="93" t="s">
        <v>84</v>
      </c>
      <c r="K51" s="97" t="s">
        <v>29</v>
      </c>
      <c r="L51" s="98">
        <v>1</v>
      </c>
      <c r="M51" s="84" t="s">
        <v>37</v>
      </c>
      <c r="N51" s="70"/>
      <c r="O51" s="65"/>
      <c r="P51" s="65"/>
      <c r="W51" s="68"/>
    </row>
    <row r="52" spans="1:23" s="10" customFormat="1" ht="17.25" customHeight="1" x14ac:dyDescent="0.2">
      <c r="B52" s="103" t="s">
        <v>68</v>
      </c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5"/>
      <c r="N52" s="64"/>
      <c r="O52" s="64"/>
      <c r="P52" s="64"/>
    </row>
    <row r="53" spans="1:23" ht="51" x14ac:dyDescent="0.2">
      <c r="B53" s="66">
        <v>29</v>
      </c>
      <c r="C53" s="52" t="s">
        <v>74</v>
      </c>
      <c r="D53" s="83" t="s">
        <v>18</v>
      </c>
      <c r="E53" s="63">
        <f>H33+H38+H29+H18+H23+H44</f>
        <v>1.5098377000000001</v>
      </c>
      <c r="F53" s="38"/>
      <c r="G53" s="38"/>
      <c r="H53" s="38"/>
      <c r="I53" s="38"/>
      <c r="J53" s="52"/>
      <c r="K53" s="83"/>
      <c r="L53" s="54"/>
      <c r="M53" s="83"/>
      <c r="N53" s="72"/>
      <c r="O53" s="73"/>
      <c r="P53" s="73"/>
    </row>
    <row r="54" spans="1:23" x14ac:dyDescent="0.2">
      <c r="B54" s="118" t="s">
        <v>85</v>
      </c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72"/>
      <c r="O54" s="73"/>
      <c r="P54" s="73"/>
    </row>
    <row r="55" spans="1:23" ht="25.5" x14ac:dyDescent="0.2">
      <c r="B55" s="87">
        <v>30</v>
      </c>
      <c r="C55" s="52" t="s">
        <v>32</v>
      </c>
      <c r="D55" s="87" t="s">
        <v>33</v>
      </c>
      <c r="E55" s="87">
        <f>(4.55*2+4.17*2)-0.85</f>
        <v>16.589999999999996</v>
      </c>
      <c r="F55" s="77" t="s">
        <v>34</v>
      </c>
      <c r="G55" s="87" t="s">
        <v>33</v>
      </c>
      <c r="H55" s="87">
        <f>E55</f>
        <v>16.589999999999996</v>
      </c>
      <c r="I55" s="84" t="s">
        <v>37</v>
      </c>
      <c r="J55" s="87"/>
      <c r="K55" s="85"/>
      <c r="L55" s="85"/>
      <c r="M55" s="85"/>
      <c r="N55" s="72"/>
      <c r="O55" s="73"/>
      <c r="P55" s="73"/>
    </row>
    <row r="56" spans="1:23" ht="25.5" x14ac:dyDescent="0.2">
      <c r="B56" s="87">
        <v>31</v>
      </c>
      <c r="C56" s="52" t="s">
        <v>30</v>
      </c>
      <c r="D56" s="87" t="s">
        <v>22</v>
      </c>
      <c r="E56" s="88">
        <f>4.17*4.55</f>
        <v>18.973499999999998</v>
      </c>
      <c r="F56" s="89" t="s">
        <v>35</v>
      </c>
      <c r="G56" s="87" t="s">
        <v>18</v>
      </c>
      <c r="H56" s="88">
        <f>(E56/100)*0.47</f>
        <v>8.9175449999999989E-2</v>
      </c>
      <c r="I56" s="87" t="s">
        <v>15</v>
      </c>
      <c r="J56" s="87"/>
      <c r="K56" s="85"/>
      <c r="L56" s="85"/>
      <c r="M56" s="85"/>
      <c r="N56" s="72"/>
      <c r="O56" s="73"/>
      <c r="P56" s="73"/>
    </row>
    <row r="57" spans="1:23" ht="25.5" x14ac:dyDescent="0.2">
      <c r="B57" s="87">
        <v>32</v>
      </c>
      <c r="C57" s="82" t="s">
        <v>41</v>
      </c>
      <c r="D57" s="87" t="s">
        <v>22</v>
      </c>
      <c r="E57" s="88">
        <f>E56</f>
        <v>18.973499999999998</v>
      </c>
      <c r="F57" s="87"/>
      <c r="G57" s="87"/>
      <c r="H57" s="87"/>
      <c r="I57" s="87"/>
      <c r="J57" s="78" t="s">
        <v>38</v>
      </c>
      <c r="K57" s="87" t="s">
        <v>28</v>
      </c>
      <c r="L57" s="88">
        <f>15*E57</f>
        <v>284.60249999999996</v>
      </c>
      <c r="M57" s="66" t="s">
        <v>19</v>
      </c>
      <c r="N57" s="72"/>
      <c r="O57" s="73"/>
      <c r="P57" s="73"/>
    </row>
    <row r="58" spans="1:23" ht="38.25" x14ac:dyDescent="0.2">
      <c r="B58" s="106">
        <v>33</v>
      </c>
      <c r="C58" s="114" t="s">
        <v>36</v>
      </c>
      <c r="D58" s="106" t="s">
        <v>22</v>
      </c>
      <c r="E58" s="116">
        <f>E57</f>
        <v>18.973499999999998</v>
      </c>
      <c r="F58" s="106"/>
      <c r="G58" s="106"/>
      <c r="H58" s="106"/>
      <c r="I58" s="106"/>
      <c r="J58" s="78" t="s">
        <v>40</v>
      </c>
      <c r="K58" s="87" t="s">
        <v>22</v>
      </c>
      <c r="L58" s="88">
        <f>E58*1.02</f>
        <v>19.352969999999999</v>
      </c>
      <c r="M58" s="66" t="s">
        <v>19</v>
      </c>
      <c r="N58" s="72"/>
      <c r="O58" s="73"/>
      <c r="P58" s="73"/>
    </row>
    <row r="59" spans="1:23" x14ac:dyDescent="0.2">
      <c r="B59" s="107"/>
      <c r="C59" s="115"/>
      <c r="D59" s="107"/>
      <c r="E59" s="117"/>
      <c r="F59" s="107"/>
      <c r="G59" s="107"/>
      <c r="H59" s="107"/>
      <c r="I59" s="107"/>
      <c r="J59" s="78" t="s">
        <v>39</v>
      </c>
      <c r="K59" s="87" t="s">
        <v>28</v>
      </c>
      <c r="L59" s="88">
        <f>0.25*E58</f>
        <v>4.7433749999999995</v>
      </c>
      <c r="M59" s="66" t="s">
        <v>19</v>
      </c>
      <c r="N59" s="72"/>
      <c r="O59" s="73"/>
      <c r="P59" s="73"/>
    </row>
    <row r="60" spans="1:23" ht="25.5" x14ac:dyDescent="0.2">
      <c r="B60" s="87">
        <v>34</v>
      </c>
      <c r="C60" s="82" t="s">
        <v>31</v>
      </c>
      <c r="D60" s="87" t="s">
        <v>33</v>
      </c>
      <c r="E60" s="87">
        <f>E55</f>
        <v>16.589999999999996</v>
      </c>
      <c r="F60" s="87"/>
      <c r="G60" s="87"/>
      <c r="H60" s="87"/>
      <c r="I60" s="87"/>
      <c r="J60" s="77" t="s">
        <v>34</v>
      </c>
      <c r="K60" s="87" t="s">
        <v>33</v>
      </c>
      <c r="L60" s="87">
        <f>E55</f>
        <v>16.589999999999996</v>
      </c>
      <c r="M60" s="84" t="s">
        <v>37</v>
      </c>
      <c r="N60" s="72"/>
      <c r="O60" s="73"/>
      <c r="P60" s="73"/>
    </row>
    <row r="61" spans="1:23" ht="38.25" x14ac:dyDescent="0.2">
      <c r="B61" s="84">
        <v>35</v>
      </c>
      <c r="C61" s="82" t="s">
        <v>51</v>
      </c>
      <c r="D61" s="84" t="s">
        <v>22</v>
      </c>
      <c r="E61" s="44">
        <f>2.2*0.7</f>
        <v>1.54</v>
      </c>
      <c r="F61" s="78" t="s">
        <v>47</v>
      </c>
      <c r="G61" s="84" t="s">
        <v>18</v>
      </c>
      <c r="H61" s="79">
        <f>(0.62*1.51*0.0025)+(0.6*0.0073)+0.01</f>
        <v>1.6720499999999999E-2</v>
      </c>
      <c r="I61" s="84" t="s">
        <v>15</v>
      </c>
      <c r="J61" s="77"/>
      <c r="K61" s="84"/>
      <c r="L61" s="84"/>
      <c r="M61" s="83"/>
      <c r="N61" s="72"/>
      <c r="O61" s="73"/>
      <c r="P61" s="73"/>
    </row>
    <row r="62" spans="1:23" ht="38.25" x14ac:dyDescent="0.2">
      <c r="B62" s="84">
        <v>36</v>
      </c>
      <c r="C62" s="82" t="s">
        <v>89</v>
      </c>
      <c r="D62" s="84" t="s">
        <v>23</v>
      </c>
      <c r="E62" s="44">
        <v>1</v>
      </c>
      <c r="F62" s="78" t="s">
        <v>49</v>
      </c>
      <c r="G62" s="84" t="s">
        <v>29</v>
      </c>
      <c r="H62" s="79">
        <v>1</v>
      </c>
      <c r="I62" s="84" t="s">
        <v>37</v>
      </c>
      <c r="J62" s="77"/>
      <c r="K62" s="84"/>
      <c r="L62" s="84"/>
      <c r="M62" s="83"/>
      <c r="N62" s="72"/>
      <c r="O62" s="73"/>
      <c r="P62" s="73"/>
    </row>
    <row r="63" spans="1:23" ht="51" x14ac:dyDescent="0.2">
      <c r="B63" s="84">
        <v>37</v>
      </c>
      <c r="C63" s="82" t="s">
        <v>60</v>
      </c>
      <c r="D63" s="84" t="s">
        <v>22</v>
      </c>
      <c r="E63" s="44">
        <f>(2.03*0.8+0.8*0.13*2+2.03*0.15)</f>
        <v>2.1364999999999998</v>
      </c>
      <c r="F63" s="84"/>
      <c r="G63" s="84"/>
      <c r="H63" s="84"/>
      <c r="I63" s="84"/>
      <c r="J63" s="77" t="s">
        <v>55</v>
      </c>
      <c r="K63" s="84" t="s">
        <v>18</v>
      </c>
      <c r="L63" s="79">
        <f>0.063*(E63/100)</f>
        <v>1.345995E-3</v>
      </c>
      <c r="M63" s="66" t="s">
        <v>19</v>
      </c>
      <c r="N63" s="72"/>
      <c r="O63" s="73"/>
      <c r="P63" s="73"/>
    </row>
    <row r="64" spans="1:23" ht="42.75" customHeight="1" x14ac:dyDescent="0.2">
      <c r="B64" s="84">
        <v>38</v>
      </c>
      <c r="C64" s="82" t="s">
        <v>57</v>
      </c>
      <c r="D64" s="84" t="s">
        <v>22</v>
      </c>
      <c r="E64" s="44">
        <v>0.89</v>
      </c>
      <c r="F64" s="84"/>
      <c r="G64" s="84"/>
      <c r="H64" s="84"/>
      <c r="I64" s="84"/>
      <c r="J64" s="77" t="s">
        <v>54</v>
      </c>
      <c r="K64" s="84" t="s">
        <v>28</v>
      </c>
      <c r="L64" s="44">
        <f>(0.0161*1000/100)*E64</f>
        <v>0.14329</v>
      </c>
      <c r="M64" s="66" t="s">
        <v>19</v>
      </c>
      <c r="N64" s="72"/>
      <c r="O64" s="73"/>
      <c r="P64" s="73"/>
    </row>
    <row r="65" spans="2:16" ht="25.5" x14ac:dyDescent="0.2">
      <c r="B65" s="84">
        <v>39</v>
      </c>
      <c r="C65" s="82" t="s">
        <v>90</v>
      </c>
      <c r="D65" s="84" t="s">
        <v>23</v>
      </c>
      <c r="E65" s="44">
        <v>1</v>
      </c>
      <c r="F65" s="78"/>
      <c r="G65" s="84"/>
      <c r="H65" s="79"/>
      <c r="I65" s="84"/>
      <c r="J65" s="78" t="s">
        <v>49</v>
      </c>
      <c r="K65" s="84" t="s">
        <v>29</v>
      </c>
      <c r="L65" s="79">
        <v>1</v>
      </c>
      <c r="M65" s="84" t="s">
        <v>37</v>
      </c>
      <c r="N65" s="72"/>
      <c r="O65" s="73"/>
      <c r="P65" s="73"/>
    </row>
    <row r="66" spans="2:16" ht="38.25" x14ac:dyDescent="0.2">
      <c r="B66" s="66">
        <v>40</v>
      </c>
      <c r="C66" s="82" t="s">
        <v>50</v>
      </c>
      <c r="D66" s="84" t="s">
        <v>23</v>
      </c>
      <c r="E66" s="44">
        <v>1</v>
      </c>
      <c r="F66" s="83"/>
      <c r="G66" s="66"/>
      <c r="H66" s="63"/>
      <c r="I66" s="66"/>
      <c r="J66" s="82" t="s">
        <v>52</v>
      </c>
      <c r="K66" s="84" t="s">
        <v>29</v>
      </c>
      <c r="L66" s="79">
        <v>1</v>
      </c>
      <c r="M66" s="66" t="s">
        <v>19</v>
      </c>
      <c r="N66" s="72"/>
      <c r="O66" s="73"/>
      <c r="P66" s="73"/>
    </row>
    <row r="67" spans="2:16" ht="38.25" x14ac:dyDescent="0.2">
      <c r="B67" s="100">
        <v>41</v>
      </c>
      <c r="C67" s="114" t="s">
        <v>48</v>
      </c>
      <c r="D67" s="119" t="s">
        <v>22</v>
      </c>
      <c r="E67" s="121">
        <f>((4.17*2+4.55*2)*3.1)-(2.19*2.07+2.03*0.8)</f>
        <v>47.906699999999994</v>
      </c>
      <c r="F67" s="123" t="s">
        <v>47</v>
      </c>
      <c r="G67" s="100" t="s">
        <v>18</v>
      </c>
      <c r="H67" s="125">
        <v>1.4999999999999999E-2</v>
      </c>
      <c r="I67" s="100" t="s">
        <v>15</v>
      </c>
      <c r="J67" s="90" t="s">
        <v>56</v>
      </c>
      <c r="K67" s="86" t="s">
        <v>22</v>
      </c>
      <c r="L67" s="91">
        <f>E67*1.12</f>
        <v>53.655504000000001</v>
      </c>
      <c r="M67" s="66" t="s">
        <v>19</v>
      </c>
      <c r="N67" s="72"/>
      <c r="O67" s="73"/>
      <c r="P67" s="73"/>
    </row>
    <row r="68" spans="2:16" ht="25.5" x14ac:dyDescent="0.2">
      <c r="B68" s="102"/>
      <c r="C68" s="115"/>
      <c r="D68" s="120"/>
      <c r="E68" s="122"/>
      <c r="F68" s="124"/>
      <c r="G68" s="102"/>
      <c r="H68" s="126"/>
      <c r="I68" s="102"/>
      <c r="J68" s="90" t="s">
        <v>53</v>
      </c>
      <c r="K68" s="86" t="s">
        <v>28</v>
      </c>
      <c r="L68" s="91">
        <f>E67*0.015</f>
        <v>0.71860049999999986</v>
      </c>
      <c r="M68" s="66" t="s">
        <v>19</v>
      </c>
      <c r="N68" s="72"/>
      <c r="O68" s="73"/>
      <c r="P68" s="73"/>
    </row>
    <row r="69" spans="2:16" x14ac:dyDescent="0.2">
      <c r="B69" s="66">
        <v>42</v>
      </c>
      <c r="C69" s="99" t="s">
        <v>92</v>
      </c>
      <c r="D69" s="83" t="s">
        <v>29</v>
      </c>
      <c r="E69" s="83">
        <v>1</v>
      </c>
      <c r="F69" s="82" t="s">
        <v>91</v>
      </c>
      <c r="G69" s="83" t="s">
        <v>18</v>
      </c>
      <c r="H69" s="83">
        <v>0.01</v>
      </c>
      <c r="I69" s="86" t="s">
        <v>15</v>
      </c>
      <c r="J69" s="82" t="s">
        <v>91</v>
      </c>
      <c r="K69" s="83" t="s">
        <v>29</v>
      </c>
      <c r="L69" s="83">
        <v>1</v>
      </c>
      <c r="M69" s="66" t="s">
        <v>19</v>
      </c>
      <c r="N69" s="72"/>
      <c r="O69" s="73"/>
      <c r="P69" s="73"/>
    </row>
    <row r="70" spans="2:16" x14ac:dyDescent="0.2">
      <c r="B70" s="108" t="s">
        <v>86</v>
      </c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10"/>
      <c r="N70" s="72"/>
      <c r="O70" s="73"/>
      <c r="P70" s="73"/>
    </row>
    <row r="71" spans="2:16" ht="25.5" x14ac:dyDescent="0.2">
      <c r="B71" s="87">
        <v>43</v>
      </c>
      <c r="C71" s="52" t="s">
        <v>32</v>
      </c>
      <c r="D71" s="87" t="s">
        <v>33</v>
      </c>
      <c r="E71" s="87">
        <f>(9.9+1.4)*2-0.94*4</f>
        <v>18.840000000000003</v>
      </c>
      <c r="F71" s="77" t="s">
        <v>34</v>
      </c>
      <c r="G71" s="87" t="s">
        <v>33</v>
      </c>
      <c r="H71" s="87">
        <f>E71</f>
        <v>18.840000000000003</v>
      </c>
      <c r="I71" s="84" t="s">
        <v>37</v>
      </c>
      <c r="J71" s="87"/>
      <c r="K71" s="85"/>
      <c r="L71" s="85"/>
      <c r="M71" s="85"/>
      <c r="N71" s="72"/>
      <c r="O71" s="73"/>
      <c r="P71" s="73"/>
    </row>
    <row r="72" spans="2:16" ht="25.5" x14ac:dyDescent="0.2">
      <c r="B72" s="87">
        <v>44</v>
      </c>
      <c r="C72" s="52" t="s">
        <v>30</v>
      </c>
      <c r="D72" s="87" t="s">
        <v>22</v>
      </c>
      <c r="E72" s="88">
        <f>9.9*1.4</f>
        <v>13.86</v>
      </c>
      <c r="F72" s="89" t="s">
        <v>35</v>
      </c>
      <c r="G72" s="87" t="s">
        <v>18</v>
      </c>
      <c r="H72" s="88">
        <f>(E72/100)*0.47</f>
        <v>6.5141999999999992E-2</v>
      </c>
      <c r="I72" s="87" t="s">
        <v>15</v>
      </c>
      <c r="J72" s="87"/>
      <c r="K72" s="85"/>
      <c r="L72" s="85"/>
      <c r="M72" s="85"/>
      <c r="N72" s="72"/>
      <c r="O72" s="73"/>
      <c r="P72" s="73"/>
    </row>
    <row r="73" spans="2:16" ht="25.5" x14ac:dyDescent="0.2">
      <c r="B73" s="87">
        <v>45</v>
      </c>
      <c r="C73" s="82" t="s">
        <v>41</v>
      </c>
      <c r="D73" s="87" t="s">
        <v>22</v>
      </c>
      <c r="E73" s="88">
        <f>E72</f>
        <v>13.86</v>
      </c>
      <c r="F73" s="87"/>
      <c r="G73" s="87"/>
      <c r="H73" s="87"/>
      <c r="I73" s="87"/>
      <c r="J73" s="78" t="s">
        <v>38</v>
      </c>
      <c r="K73" s="87" t="s">
        <v>28</v>
      </c>
      <c r="L73" s="88">
        <f>15*E73</f>
        <v>207.89999999999998</v>
      </c>
      <c r="M73" s="66" t="s">
        <v>19</v>
      </c>
      <c r="N73" s="72"/>
      <c r="O73" s="73"/>
      <c r="P73" s="73"/>
    </row>
    <row r="74" spans="2:16" ht="38.25" x14ac:dyDescent="0.2">
      <c r="B74" s="106">
        <v>46</v>
      </c>
      <c r="C74" s="114" t="s">
        <v>36</v>
      </c>
      <c r="D74" s="106" t="s">
        <v>22</v>
      </c>
      <c r="E74" s="116">
        <f>E73</f>
        <v>13.86</v>
      </c>
      <c r="F74" s="106"/>
      <c r="G74" s="106"/>
      <c r="H74" s="106"/>
      <c r="I74" s="106"/>
      <c r="J74" s="78" t="s">
        <v>40</v>
      </c>
      <c r="K74" s="87" t="s">
        <v>22</v>
      </c>
      <c r="L74" s="88">
        <f>E74*1.02</f>
        <v>14.1372</v>
      </c>
      <c r="M74" s="66" t="s">
        <v>19</v>
      </c>
      <c r="N74" s="72"/>
      <c r="O74" s="73"/>
      <c r="P74" s="73"/>
    </row>
    <row r="75" spans="2:16" x14ac:dyDescent="0.2">
      <c r="B75" s="107"/>
      <c r="C75" s="115"/>
      <c r="D75" s="107"/>
      <c r="E75" s="117"/>
      <c r="F75" s="107"/>
      <c r="G75" s="107"/>
      <c r="H75" s="107"/>
      <c r="I75" s="107"/>
      <c r="J75" s="78" t="s">
        <v>39</v>
      </c>
      <c r="K75" s="87" t="s">
        <v>28</v>
      </c>
      <c r="L75" s="88">
        <f>0.25*E74</f>
        <v>3.4649999999999999</v>
      </c>
      <c r="M75" s="66" t="s">
        <v>19</v>
      </c>
      <c r="N75" s="72"/>
      <c r="O75" s="73"/>
      <c r="P75" s="73"/>
    </row>
    <row r="76" spans="2:16" ht="25.5" x14ac:dyDescent="0.2">
      <c r="B76" s="87">
        <v>47</v>
      </c>
      <c r="C76" s="82" t="s">
        <v>31</v>
      </c>
      <c r="D76" s="87" t="s">
        <v>33</v>
      </c>
      <c r="E76" s="87">
        <f>E71</f>
        <v>18.840000000000003</v>
      </c>
      <c r="F76" s="87"/>
      <c r="G76" s="87"/>
      <c r="H76" s="87"/>
      <c r="I76" s="87"/>
      <c r="J76" s="77" t="s">
        <v>34</v>
      </c>
      <c r="K76" s="87" t="s">
        <v>33</v>
      </c>
      <c r="L76" s="87">
        <f>E71</f>
        <v>18.840000000000003</v>
      </c>
      <c r="M76" s="84" t="s">
        <v>37</v>
      </c>
      <c r="N76" s="72"/>
      <c r="O76" s="73"/>
      <c r="P76" s="73"/>
    </row>
    <row r="77" spans="2:16" ht="52.5" customHeight="1" x14ac:dyDescent="0.2">
      <c r="B77" s="84">
        <v>48</v>
      </c>
      <c r="C77" s="82" t="s">
        <v>94</v>
      </c>
      <c r="D77" s="84" t="s">
        <v>22</v>
      </c>
      <c r="E77" s="44">
        <v>1.36</v>
      </c>
      <c r="F77" s="84"/>
      <c r="G77" s="84"/>
      <c r="H77" s="84"/>
      <c r="I77" s="84"/>
      <c r="J77" s="77" t="s">
        <v>54</v>
      </c>
      <c r="K77" s="84" t="s">
        <v>28</v>
      </c>
      <c r="L77" s="44">
        <f>(0.0161*1000/100)*E77</f>
        <v>0.21896000000000002</v>
      </c>
      <c r="M77" s="66" t="s">
        <v>19</v>
      </c>
      <c r="N77" s="72"/>
      <c r="O77" s="73"/>
      <c r="P77" s="73"/>
    </row>
    <row r="78" spans="2:16" ht="63.75" x14ac:dyDescent="0.2">
      <c r="B78" s="86">
        <v>49</v>
      </c>
      <c r="C78" s="90" t="s">
        <v>69</v>
      </c>
      <c r="D78" s="92" t="s">
        <v>22</v>
      </c>
      <c r="E78" s="88">
        <f>(9.9*2*3.05)+(1.4*2*3.05)-(2.05*0.85*3+0.85*1.95)</f>
        <v>62.045000000000009</v>
      </c>
      <c r="F78" s="93"/>
      <c r="G78" s="86"/>
      <c r="H78" s="94"/>
      <c r="I78" s="86"/>
      <c r="J78" s="90" t="s">
        <v>70</v>
      </c>
      <c r="K78" s="86" t="s">
        <v>18</v>
      </c>
      <c r="L78" s="94">
        <f>E78/100*0.0298</f>
        <v>1.8489410000000001E-2</v>
      </c>
      <c r="M78" s="66" t="s">
        <v>19</v>
      </c>
      <c r="N78" s="72"/>
      <c r="O78" s="73"/>
      <c r="P78" s="73"/>
    </row>
    <row r="79" spans="2:16" x14ac:dyDescent="0.2">
      <c r="B79" s="103" t="s">
        <v>87</v>
      </c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5"/>
      <c r="N79" s="72"/>
      <c r="O79" s="73"/>
      <c r="P79" s="73"/>
    </row>
    <row r="80" spans="2:16" ht="38.25" x14ac:dyDescent="0.2">
      <c r="B80" s="66">
        <v>50</v>
      </c>
      <c r="C80" s="82" t="s">
        <v>71</v>
      </c>
      <c r="D80" s="66" t="s">
        <v>22</v>
      </c>
      <c r="E80" s="44">
        <f>0.85*2.05*4+0.85*1.95+2.05*0.9</f>
        <v>10.4725</v>
      </c>
      <c r="F80" s="78" t="s">
        <v>73</v>
      </c>
      <c r="G80" s="84" t="s">
        <v>18</v>
      </c>
      <c r="H80" s="79">
        <v>1.1000000000000001</v>
      </c>
      <c r="I80" s="84" t="s">
        <v>15</v>
      </c>
      <c r="J80" s="66"/>
      <c r="K80" s="66"/>
      <c r="L80" s="66"/>
      <c r="M80" s="66"/>
      <c r="N80" s="72"/>
      <c r="O80" s="73"/>
      <c r="P80" s="73"/>
    </row>
    <row r="81" spans="2:16" ht="25.5" x14ac:dyDescent="0.2">
      <c r="B81" s="86">
        <v>51</v>
      </c>
      <c r="C81" s="90" t="s">
        <v>82</v>
      </c>
      <c r="D81" s="86" t="s">
        <v>23</v>
      </c>
      <c r="E81" s="96">
        <v>1</v>
      </c>
      <c r="F81" s="93" t="s">
        <v>84</v>
      </c>
      <c r="G81" s="97" t="s">
        <v>29</v>
      </c>
      <c r="H81" s="98">
        <v>1</v>
      </c>
      <c r="I81" s="84" t="s">
        <v>37</v>
      </c>
      <c r="J81" s="66"/>
      <c r="K81" s="66"/>
      <c r="L81" s="66"/>
      <c r="M81" s="66"/>
      <c r="N81" s="72"/>
      <c r="O81" s="73"/>
      <c r="P81" s="73"/>
    </row>
    <row r="82" spans="2:16" ht="51" x14ac:dyDescent="0.2">
      <c r="B82" s="100">
        <v>52</v>
      </c>
      <c r="C82" s="111" t="s">
        <v>75</v>
      </c>
      <c r="D82" s="100" t="s">
        <v>22</v>
      </c>
      <c r="E82" s="100">
        <f>2.05*0.85*5+1.95*0.85</f>
        <v>10.37</v>
      </c>
      <c r="F82" s="100"/>
      <c r="G82" s="100"/>
      <c r="H82" s="100"/>
      <c r="I82" s="100"/>
      <c r="J82" s="82" t="s">
        <v>76</v>
      </c>
      <c r="K82" s="66" t="s">
        <v>29</v>
      </c>
      <c r="L82" s="66">
        <v>5</v>
      </c>
      <c r="M82" s="66" t="s">
        <v>19</v>
      </c>
      <c r="N82" s="72"/>
      <c r="O82" s="73"/>
      <c r="P82" s="73"/>
    </row>
    <row r="83" spans="2:16" ht="51" x14ac:dyDescent="0.2">
      <c r="B83" s="101"/>
      <c r="C83" s="112"/>
      <c r="D83" s="101"/>
      <c r="E83" s="101"/>
      <c r="F83" s="101"/>
      <c r="G83" s="101"/>
      <c r="H83" s="101"/>
      <c r="I83" s="101"/>
      <c r="J83" s="82" t="s">
        <v>81</v>
      </c>
      <c r="K83" s="66" t="s">
        <v>29</v>
      </c>
      <c r="L83" s="66">
        <v>1</v>
      </c>
      <c r="M83" s="66" t="s">
        <v>19</v>
      </c>
      <c r="N83" s="72"/>
      <c r="O83" s="73"/>
      <c r="P83" s="73"/>
    </row>
    <row r="84" spans="2:16" ht="25.5" x14ac:dyDescent="0.2">
      <c r="B84" s="101"/>
      <c r="C84" s="112"/>
      <c r="D84" s="101"/>
      <c r="E84" s="101"/>
      <c r="F84" s="101"/>
      <c r="G84" s="101"/>
      <c r="H84" s="101"/>
      <c r="I84" s="101"/>
      <c r="J84" s="77" t="s">
        <v>79</v>
      </c>
      <c r="K84" s="66" t="s">
        <v>33</v>
      </c>
      <c r="L84" s="44">
        <f>(2.05*4*5+0.85*2*5)*1.12</f>
        <v>55.440000000000005</v>
      </c>
      <c r="M84" s="66" t="s">
        <v>19</v>
      </c>
      <c r="N84" s="72"/>
      <c r="O84" s="73"/>
      <c r="P84" s="73"/>
    </row>
    <row r="85" spans="2:16" ht="25.5" x14ac:dyDescent="0.2">
      <c r="B85" s="102"/>
      <c r="C85" s="113"/>
      <c r="D85" s="102"/>
      <c r="E85" s="102"/>
      <c r="F85" s="102"/>
      <c r="G85" s="102"/>
      <c r="H85" s="102"/>
      <c r="I85" s="102"/>
      <c r="J85" s="77" t="s">
        <v>80</v>
      </c>
      <c r="K85" s="66" t="s">
        <v>33</v>
      </c>
      <c r="L85" s="44">
        <f>(2.05*2*5+0.85*5)*1.12</f>
        <v>27.720000000000002</v>
      </c>
      <c r="M85" s="66" t="s">
        <v>19</v>
      </c>
      <c r="N85" s="72"/>
      <c r="O85" s="73"/>
      <c r="P85" s="73"/>
    </row>
    <row r="86" spans="2:16" ht="25.5" x14ac:dyDescent="0.2">
      <c r="B86" s="66">
        <v>53</v>
      </c>
      <c r="C86" s="90" t="s">
        <v>83</v>
      </c>
      <c r="D86" s="86" t="s">
        <v>23</v>
      </c>
      <c r="E86" s="96">
        <v>1</v>
      </c>
      <c r="F86" s="66"/>
      <c r="G86" s="66"/>
      <c r="H86" s="66"/>
      <c r="I86" s="66"/>
      <c r="J86" s="93" t="s">
        <v>84</v>
      </c>
      <c r="K86" s="97" t="s">
        <v>29</v>
      </c>
      <c r="L86" s="98">
        <v>1</v>
      </c>
      <c r="M86" s="84" t="s">
        <v>37</v>
      </c>
      <c r="N86" s="72"/>
      <c r="O86" s="73"/>
      <c r="P86" s="73"/>
    </row>
    <row r="87" spans="2:16" x14ac:dyDescent="0.2">
      <c r="B87" s="103" t="s">
        <v>88</v>
      </c>
      <c r="C87" s="104"/>
      <c r="D87" s="104"/>
      <c r="E87" s="104"/>
      <c r="F87" s="104"/>
      <c r="G87" s="104"/>
      <c r="H87" s="104"/>
      <c r="I87" s="104"/>
      <c r="J87" s="104"/>
      <c r="K87" s="104"/>
      <c r="L87" s="104"/>
      <c r="M87" s="105"/>
      <c r="N87" s="72"/>
      <c r="O87" s="73"/>
      <c r="P87" s="73"/>
    </row>
    <row r="88" spans="2:16" ht="51" x14ac:dyDescent="0.2">
      <c r="B88" s="66">
        <v>54</v>
      </c>
      <c r="C88" s="52" t="s">
        <v>61</v>
      </c>
      <c r="D88" s="83" t="s">
        <v>18</v>
      </c>
      <c r="E88" s="63">
        <f>H80+H72+H67+H61+H69+H56</f>
        <v>1.2960379499999999</v>
      </c>
      <c r="F88" s="38"/>
      <c r="G88" s="38"/>
      <c r="H88" s="38"/>
      <c r="I88" s="38"/>
      <c r="J88" s="52"/>
      <c r="K88" s="83"/>
      <c r="L88" s="54"/>
      <c r="M88" s="83"/>
      <c r="N88" s="72"/>
      <c r="O88" s="73"/>
      <c r="P88" s="73"/>
    </row>
    <row r="89" spans="2:16" ht="25.5" customHeight="1" x14ac:dyDescent="0.2">
      <c r="B89" s="132" t="s">
        <v>93</v>
      </c>
      <c r="C89" s="133"/>
      <c r="D89" s="133"/>
      <c r="E89" s="133"/>
      <c r="F89" s="133"/>
      <c r="G89" s="133"/>
      <c r="H89" s="133"/>
      <c r="I89" s="133"/>
      <c r="J89" s="133"/>
      <c r="K89" s="133"/>
      <c r="L89" s="133"/>
      <c r="M89" s="134"/>
      <c r="N89" s="72"/>
      <c r="O89" s="73"/>
      <c r="P89" s="73"/>
    </row>
    <row r="90" spans="2:16" ht="25.5" customHeight="1" x14ac:dyDescent="0.2">
      <c r="B90" s="73"/>
      <c r="C90" s="74"/>
      <c r="D90" s="72"/>
      <c r="E90" s="75"/>
      <c r="F90" s="69"/>
      <c r="G90" s="69"/>
      <c r="H90" s="69"/>
      <c r="I90" s="69"/>
      <c r="J90" s="74"/>
      <c r="K90" s="72"/>
      <c r="L90" s="76"/>
      <c r="M90" s="72"/>
      <c r="N90" s="72"/>
      <c r="O90" s="73"/>
      <c r="P90" s="73"/>
    </row>
    <row r="91" spans="2:16" ht="12.75" customHeight="1" x14ac:dyDescent="0.25">
      <c r="B91" s="27" t="s">
        <v>13</v>
      </c>
      <c r="C91" s="27"/>
      <c r="D91" s="27"/>
      <c r="E91" s="27"/>
      <c r="F91" s="27"/>
      <c r="G91" s="80"/>
      <c r="H91" s="80"/>
      <c r="I91" s="80"/>
      <c r="J91" s="50"/>
      <c r="K91" s="50"/>
      <c r="L91" s="53"/>
      <c r="M91" s="50"/>
    </row>
    <row r="92" spans="2:16" ht="15.75" x14ac:dyDescent="0.25">
      <c r="B92" s="18"/>
      <c r="C92" s="23"/>
      <c r="D92" s="19"/>
      <c r="E92" s="40"/>
      <c r="F92" s="24"/>
      <c r="G92" s="25"/>
      <c r="H92" s="21"/>
      <c r="I92" s="22"/>
      <c r="J92" s="17"/>
      <c r="K92" s="18"/>
      <c r="L92" s="58"/>
      <c r="M92" s="18"/>
    </row>
    <row r="93" spans="2:16" ht="15.75" hidden="1" x14ac:dyDescent="0.25">
      <c r="B93" s="26"/>
      <c r="C93" s="27" t="s">
        <v>17</v>
      </c>
      <c r="G93" s="34"/>
      <c r="H93" s="61"/>
      <c r="I93" s="27" t="s">
        <v>16</v>
      </c>
      <c r="J93" s="17"/>
      <c r="K93" s="16"/>
      <c r="L93" s="59"/>
      <c r="M93" s="28"/>
    </row>
    <row r="94" spans="2:16" ht="15.75" hidden="1" x14ac:dyDescent="0.25">
      <c r="B94" s="26"/>
      <c r="C94" s="19"/>
      <c r="D94" s="19"/>
      <c r="E94" s="41"/>
      <c r="F94" s="19"/>
      <c r="G94" s="20"/>
      <c r="H94" s="36"/>
      <c r="I94" s="20"/>
      <c r="J94" s="17"/>
      <c r="K94" s="16"/>
      <c r="L94" s="59"/>
      <c r="M94" s="28"/>
    </row>
    <row r="95" spans="2:16" ht="15.75" x14ac:dyDescent="0.25">
      <c r="B95" s="26"/>
      <c r="C95" s="19" t="s">
        <v>58</v>
      </c>
      <c r="D95" s="19"/>
      <c r="E95" s="41"/>
      <c r="F95" s="19"/>
      <c r="G95" s="51"/>
      <c r="H95" s="51"/>
      <c r="I95" s="81" t="s">
        <v>59</v>
      </c>
      <c r="J95" s="17"/>
      <c r="K95" s="16"/>
      <c r="L95" s="59"/>
      <c r="M95" s="28"/>
    </row>
    <row r="96" spans="2:16" ht="15.75" x14ac:dyDescent="0.25">
      <c r="B96" s="26"/>
      <c r="C96" s="19"/>
      <c r="D96" s="19"/>
      <c r="E96" s="41"/>
      <c r="F96" s="19"/>
      <c r="G96" s="20"/>
      <c r="H96" s="36"/>
      <c r="I96" s="20"/>
      <c r="J96" s="17"/>
      <c r="K96" s="16"/>
      <c r="L96" s="59"/>
      <c r="M96" s="28"/>
    </row>
    <row r="97" spans="3:9" ht="15" x14ac:dyDescent="0.25">
      <c r="C97" s="27" t="s">
        <v>43</v>
      </c>
      <c r="D97" s="19"/>
      <c r="E97" s="137"/>
      <c r="F97" s="137"/>
      <c r="G97" s="34"/>
      <c r="H97" s="61"/>
      <c r="I97" s="27" t="s">
        <v>21</v>
      </c>
    </row>
    <row r="98" spans="3:9" ht="18" customHeight="1" x14ac:dyDescent="0.25">
      <c r="C98" s="23"/>
      <c r="D98" s="19"/>
      <c r="E98" s="42"/>
      <c r="F98" s="21"/>
      <c r="G98" s="25"/>
      <c r="H98" s="36"/>
      <c r="I98" s="25"/>
    </row>
    <row r="99" spans="3:9" ht="15" x14ac:dyDescent="0.25">
      <c r="C99" s="27" t="s">
        <v>45</v>
      </c>
      <c r="G99" s="34"/>
      <c r="H99" s="61"/>
      <c r="I99" s="27" t="s">
        <v>44</v>
      </c>
    </row>
    <row r="100" spans="3:9" ht="21.75" customHeight="1" x14ac:dyDescent="0.25">
      <c r="C100" s="37"/>
      <c r="D100" s="21"/>
      <c r="E100" s="42"/>
      <c r="F100" s="21"/>
      <c r="G100" s="21"/>
      <c r="H100" s="36"/>
      <c r="I100" s="21"/>
    </row>
    <row r="101" spans="3:9" ht="15" x14ac:dyDescent="0.25">
      <c r="C101" s="27" t="s">
        <v>20</v>
      </c>
      <c r="D101" s="19"/>
      <c r="E101" s="137"/>
      <c r="F101" s="137"/>
      <c r="G101" s="34"/>
      <c r="H101" s="35"/>
      <c r="I101" s="27" t="s">
        <v>42</v>
      </c>
    </row>
    <row r="102" spans="3:9" ht="25.5" customHeight="1" x14ac:dyDescent="0.2"/>
  </sheetData>
  <mergeCells count="93">
    <mergeCell ref="E101:F101"/>
    <mergeCell ref="E97:F97"/>
    <mergeCell ref="B52:M52"/>
    <mergeCell ref="B7:M7"/>
    <mergeCell ref="B8:M8"/>
    <mergeCell ref="B9:M9"/>
    <mergeCell ref="B10:M10"/>
    <mergeCell ref="B11:M11"/>
    <mergeCell ref="B13:B14"/>
    <mergeCell ref="C13:C14"/>
    <mergeCell ref="D13:E13"/>
    <mergeCell ref="F13:I13"/>
    <mergeCell ref="J13:M13"/>
    <mergeCell ref="B16:M16"/>
    <mergeCell ref="B43:M43"/>
    <mergeCell ref="H20:H21"/>
    <mergeCell ref="I20:I21"/>
    <mergeCell ref="B20:B21"/>
    <mergeCell ref="B35:B36"/>
    <mergeCell ref="C35:C36"/>
    <mergeCell ref="D35:D36"/>
    <mergeCell ref="E35:E36"/>
    <mergeCell ref="F35:F36"/>
    <mergeCell ref="G35:G36"/>
    <mergeCell ref="H35:H36"/>
    <mergeCell ref="I35:I36"/>
    <mergeCell ref="C20:C21"/>
    <mergeCell ref="D20:D21"/>
    <mergeCell ref="E20:E21"/>
    <mergeCell ref="F20:F21"/>
    <mergeCell ref="G20:G21"/>
    <mergeCell ref="B31:M31"/>
    <mergeCell ref="I39:I40"/>
    <mergeCell ref="B89:M89"/>
    <mergeCell ref="B29:B30"/>
    <mergeCell ref="C29:C30"/>
    <mergeCell ref="D29:D30"/>
    <mergeCell ref="E29:E30"/>
    <mergeCell ref="F29:F30"/>
    <mergeCell ref="G29:G30"/>
    <mergeCell ref="H29:H30"/>
    <mergeCell ref="I29:I30"/>
    <mergeCell ref="B39:B40"/>
    <mergeCell ref="C39:C40"/>
    <mergeCell ref="D39:D40"/>
    <mergeCell ref="E39:E40"/>
    <mergeCell ref="F39:F40"/>
    <mergeCell ref="G39:G40"/>
    <mergeCell ref="H39:H40"/>
    <mergeCell ref="B46:B50"/>
    <mergeCell ref="C46:C50"/>
    <mergeCell ref="D46:D50"/>
    <mergeCell ref="E46:E50"/>
    <mergeCell ref="F46:F50"/>
    <mergeCell ref="G46:G50"/>
    <mergeCell ref="H46:H50"/>
    <mergeCell ref="I46:I50"/>
    <mergeCell ref="B54:M54"/>
    <mergeCell ref="D74:D75"/>
    <mergeCell ref="E74:E75"/>
    <mergeCell ref="F74:F75"/>
    <mergeCell ref="G74:G75"/>
    <mergeCell ref="H74:H75"/>
    <mergeCell ref="I74:I75"/>
    <mergeCell ref="H58:H59"/>
    <mergeCell ref="I58:I59"/>
    <mergeCell ref="C67:C68"/>
    <mergeCell ref="D67:D68"/>
    <mergeCell ref="E67:E68"/>
    <mergeCell ref="F67:F68"/>
    <mergeCell ref="G67:G68"/>
    <mergeCell ref="H67:H68"/>
    <mergeCell ref="C58:C59"/>
    <mergeCell ref="D58:D59"/>
    <mergeCell ref="E58:E59"/>
    <mergeCell ref="F58:F59"/>
    <mergeCell ref="G58:G59"/>
    <mergeCell ref="B82:B85"/>
    <mergeCell ref="B87:M87"/>
    <mergeCell ref="B58:B59"/>
    <mergeCell ref="B67:B68"/>
    <mergeCell ref="B70:M70"/>
    <mergeCell ref="B74:B75"/>
    <mergeCell ref="B79:M79"/>
    <mergeCell ref="C82:C85"/>
    <mergeCell ref="D82:D85"/>
    <mergeCell ref="E82:E85"/>
    <mergeCell ref="F82:F85"/>
    <mergeCell ref="G82:G85"/>
    <mergeCell ref="H82:H85"/>
    <mergeCell ref="I82:I85"/>
    <mergeCell ref="C74:C75"/>
    <mergeCell ref="I67:I68"/>
  </mergeCells>
  <printOptions horizontalCentered="1"/>
  <pageMargins left="0" right="0" top="0.19685039370078741" bottom="0.15748031496062992" header="0" footer="0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ДВ</vt:lpstr>
      <vt:lpstr>ДВ!Заголовки_для_печати</vt:lpstr>
      <vt:lpstr>ДВ!Область_печати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 Галина Михайловна</dc:creator>
  <cp:lastModifiedBy>Strekalovskaya Kristina</cp:lastModifiedBy>
  <cp:lastPrinted>2023-01-17T06:05:11Z</cp:lastPrinted>
  <dcterms:created xsi:type="dcterms:W3CDTF">2002-02-11T05:58:42Z</dcterms:created>
  <dcterms:modified xsi:type="dcterms:W3CDTF">2023-02-07T07:25:44Z</dcterms:modified>
</cp:coreProperties>
</file>